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a7d19c7b3373846/Documenten/"/>
    </mc:Choice>
  </mc:AlternateContent>
  <xr:revisionPtr revIDLastSave="5" documentId="14_{4DCC6809-BAA2-4242-AFC1-0D8F2EBF0771}" xr6:coauthVersionLast="47" xr6:coauthVersionMax="47" xr10:uidLastSave="{30935D45-45DF-463B-AA01-C333DAA81150}"/>
  <bookViews>
    <workbookView xWindow="-120" yWindow="-120" windowWidth="21840" windowHeight="13020" tabRatio="602" firstSheet="2" activeTab="4" xr2:uid="{E36734DE-A13A-40EC-90E3-EC3DF797343A}"/>
  </bookViews>
  <sheets>
    <sheet name="Snelstart Jaarrkg 2025" sheetId="1" r:id="rId1"/>
    <sheet name="0100 Computerapp e.d. 2025" sheetId="2" r:id="rId2"/>
    <sheet name="Overige bal pst Ult 2025" sheetId="8" r:id="rId3"/>
    <sheet name="Toelichting Inkomsten 2025 " sheetId="6" r:id="rId4"/>
    <sheet name="Toelichting 2025" sheetId="7" r:id="rId5"/>
  </sheets>
  <definedNames>
    <definedName name="_xlnm.Print_Area" localSheetId="1">'0100 Computerapp e.d. 2025'!#REF!</definedName>
    <definedName name="_xlnm.Print_Area" localSheetId="0">'Snelstart Jaarrkg 2025'!$A$1:$V$61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4" i="7" l="1"/>
  <c r="J123" i="7"/>
  <c r="J113" i="7"/>
  <c r="J108" i="7"/>
  <c r="J99" i="7"/>
  <c r="J91" i="7"/>
  <c r="J83" i="7"/>
  <c r="Q46" i="8"/>
  <c r="R41" i="8"/>
  <c r="R40" i="8"/>
  <c r="C46" i="8"/>
  <c r="D46" i="8"/>
  <c r="E46" i="8"/>
  <c r="F46" i="8"/>
  <c r="G46" i="8"/>
  <c r="H46" i="8"/>
  <c r="I46" i="8"/>
  <c r="J46" i="8"/>
  <c r="K46" i="8"/>
  <c r="L46" i="8"/>
  <c r="M46" i="8"/>
  <c r="N46" i="8"/>
  <c r="O46" i="8"/>
  <c r="P46" i="8"/>
  <c r="B46" i="8"/>
  <c r="R20" i="8"/>
  <c r="Q20" i="8"/>
  <c r="P20" i="8"/>
  <c r="O20" i="8"/>
  <c r="N20" i="8"/>
  <c r="M20" i="8"/>
  <c r="L20" i="8"/>
  <c r="L49" i="8" s="1"/>
  <c r="K20" i="8"/>
  <c r="J20" i="8"/>
  <c r="I20" i="8"/>
  <c r="H20" i="8"/>
  <c r="G20" i="8"/>
  <c r="F20" i="8"/>
  <c r="F49" i="8" s="1"/>
  <c r="E20" i="8"/>
  <c r="D20" i="8"/>
  <c r="C20" i="8"/>
  <c r="B20" i="8"/>
  <c r="I22" i="1"/>
  <c r="G22" i="1"/>
  <c r="E22" i="1"/>
  <c r="C22" i="1"/>
  <c r="J115" i="7" l="1"/>
  <c r="J125" i="7" s="1"/>
  <c r="J138" i="7" s="1"/>
  <c r="K49" i="8"/>
  <c r="M49" i="8"/>
  <c r="N49" i="8"/>
  <c r="B55" i="8" s="1"/>
  <c r="C49" i="8"/>
  <c r="O49" i="8"/>
  <c r="D49" i="8"/>
  <c r="P49" i="8"/>
  <c r="E49" i="8"/>
  <c r="B49" i="8"/>
  <c r="G49" i="8"/>
  <c r="H49" i="8"/>
  <c r="I49" i="8"/>
  <c r="J49" i="8"/>
  <c r="B54" i="8" s="1"/>
  <c r="Q49" i="8"/>
  <c r="R46" i="8"/>
  <c r="R49" i="8" s="1"/>
  <c r="S20" i="8"/>
  <c r="I134" i="7"/>
  <c r="I123" i="7"/>
  <c r="I115" i="7"/>
  <c r="I69" i="7"/>
  <c r="I28" i="7"/>
  <c r="I29" i="7" s="1"/>
  <c r="I30" i="7" s="1"/>
  <c r="H31" i="7"/>
  <c r="L39" i="6"/>
  <c r="L38" i="6"/>
  <c r="B53" i="8" l="1"/>
  <c r="B57" i="8"/>
  <c r="B56" i="8"/>
  <c r="S46" i="8"/>
  <c r="S49" i="8" s="1"/>
  <c r="L44" i="6"/>
  <c r="L55" i="6" s="1"/>
  <c r="I125" i="7"/>
  <c r="I138" i="7" s="1"/>
  <c r="I31" i="7"/>
  <c r="I32" i="7" s="1"/>
  <c r="I33" i="7" s="1"/>
  <c r="I34" i="7" s="1"/>
  <c r="I35" i="7" s="1"/>
  <c r="I36" i="7" s="1"/>
  <c r="I37" i="7" s="1"/>
  <c r="I38" i="7" s="1"/>
  <c r="I39" i="7" s="1"/>
  <c r="B58" i="8" l="1"/>
  <c r="Q20" i="2"/>
  <c r="P20" i="2"/>
  <c r="O20" i="2"/>
  <c r="N20" i="2"/>
  <c r="M20" i="2"/>
  <c r="L20" i="2"/>
  <c r="K20" i="2"/>
  <c r="F20" i="2"/>
  <c r="E20" i="2"/>
  <c r="D20" i="2"/>
  <c r="J17" i="2"/>
  <c r="G16" i="2"/>
  <c r="H16" i="2" s="1"/>
  <c r="I16" i="2" s="1"/>
  <c r="J16" i="2" s="1"/>
  <c r="G15" i="2"/>
  <c r="H15" i="2" s="1"/>
  <c r="I15" i="2" s="1"/>
  <c r="J15" i="2" s="1"/>
  <c r="F14" i="2"/>
  <c r="G14" i="2" s="1"/>
  <c r="H14" i="2" s="1"/>
  <c r="G13" i="2"/>
  <c r="H20" i="2" l="1"/>
  <c r="I14" i="2"/>
  <c r="G20" i="2"/>
  <c r="J14" i="2" l="1"/>
  <c r="J20" i="2" s="1"/>
  <c r="I20" i="2"/>
  <c r="K22" i="1" l="1"/>
  <c r="C43" i="1"/>
  <c r="C53" i="1"/>
  <c r="D53" i="1"/>
  <c r="E53" i="1"/>
  <c r="F53" i="1"/>
  <c r="G53" i="1"/>
  <c r="H53" i="1"/>
  <c r="I53" i="1"/>
  <c r="J53" i="1"/>
  <c r="K53" i="1"/>
  <c r="B53" i="1"/>
  <c r="E43" i="1"/>
  <c r="G43" i="1"/>
  <c r="I43" i="1"/>
  <c r="K43" i="1"/>
  <c r="B43" i="1"/>
  <c r="M52" i="1"/>
  <c r="U52" i="1" s="1"/>
  <c r="M51" i="1"/>
  <c r="U51" i="1" s="1"/>
  <c r="M50" i="1"/>
  <c r="U50" i="1" s="1"/>
  <c r="M49" i="1"/>
  <c r="U49" i="1" s="1"/>
  <c r="M48" i="1"/>
  <c r="U48" i="1" s="1"/>
  <c r="M47" i="1"/>
  <c r="U47" i="1" s="1"/>
  <c r="M46" i="1"/>
  <c r="U46" i="1" s="1"/>
  <c r="L52" i="1"/>
  <c r="L51" i="1"/>
  <c r="L50" i="1"/>
  <c r="O50" i="1" s="1"/>
  <c r="Q50" i="1" s="1"/>
  <c r="L49" i="1"/>
  <c r="O49" i="1" s="1"/>
  <c r="Q49" i="1" s="1"/>
  <c r="L48" i="1"/>
  <c r="Q48" i="1" s="1"/>
  <c r="L47" i="1"/>
  <c r="Q47" i="1" s="1"/>
  <c r="L46" i="1"/>
  <c r="Q46" i="1" s="1"/>
  <c r="M42" i="1"/>
  <c r="M41" i="1"/>
  <c r="M40" i="1"/>
  <c r="M39" i="1"/>
  <c r="M37" i="1"/>
  <c r="M36" i="1"/>
  <c r="M35" i="1"/>
  <c r="M34" i="1"/>
  <c r="M33" i="1"/>
  <c r="M32" i="1"/>
  <c r="M31" i="1"/>
  <c r="M30" i="1"/>
  <c r="M29" i="1"/>
  <c r="M28" i="1"/>
  <c r="M27" i="1"/>
  <c r="L42" i="1"/>
  <c r="O42" i="1" s="1"/>
  <c r="L41" i="1"/>
  <c r="O41" i="1" s="1"/>
  <c r="L40" i="1"/>
  <c r="O40" i="1" s="1"/>
  <c r="L39" i="1"/>
  <c r="O39" i="1" s="1"/>
  <c r="L36" i="1"/>
  <c r="L35" i="1"/>
  <c r="L34" i="1"/>
  <c r="L33" i="1"/>
  <c r="L32" i="1"/>
  <c r="L31" i="1"/>
  <c r="L30" i="1"/>
  <c r="L29" i="1"/>
  <c r="L28" i="1"/>
  <c r="L27" i="1"/>
  <c r="J22" i="1"/>
  <c r="H22" i="1"/>
  <c r="F22" i="1"/>
  <c r="D22" i="1"/>
  <c r="B22" i="1"/>
  <c r="D16" i="1"/>
  <c r="E16" i="1"/>
  <c r="F16" i="1"/>
  <c r="G16" i="1"/>
  <c r="H16" i="1"/>
  <c r="I16" i="1"/>
  <c r="J16" i="1"/>
  <c r="K16" i="1"/>
  <c r="C16" i="1"/>
  <c r="B16" i="1"/>
  <c r="M7" i="1"/>
  <c r="M8" i="1"/>
  <c r="M9" i="1"/>
  <c r="M10" i="1"/>
  <c r="M11" i="1"/>
  <c r="M12" i="1"/>
  <c r="M13" i="1"/>
  <c r="M14" i="1"/>
  <c r="M15" i="1"/>
  <c r="M6" i="1"/>
  <c r="L7" i="1"/>
  <c r="Q7" i="1" s="1"/>
  <c r="L8" i="1"/>
  <c r="Q8" i="1" s="1"/>
  <c r="L9" i="1"/>
  <c r="Q9" i="1" s="1"/>
  <c r="L10" i="1"/>
  <c r="Q10" i="1" s="1"/>
  <c r="L11" i="1"/>
  <c r="Q11" i="1" s="1"/>
  <c r="L12" i="1"/>
  <c r="Q12" i="1" s="1"/>
  <c r="L13" i="1"/>
  <c r="Q13" i="1" s="1"/>
  <c r="L14" i="1"/>
  <c r="Q14" i="1" s="1"/>
  <c r="L15" i="1"/>
  <c r="Q15" i="1" s="1"/>
  <c r="L6" i="1"/>
  <c r="Q6" i="1" s="1"/>
  <c r="L20" i="1"/>
  <c r="B55" i="1" l="1"/>
  <c r="O52" i="1"/>
  <c r="Q52" i="1" s="1"/>
  <c r="I51" i="7"/>
  <c r="I57" i="7" s="1"/>
  <c r="M43" i="1"/>
  <c r="L22" i="1"/>
  <c r="M53" i="1"/>
  <c r="L53" i="1"/>
  <c r="O51" i="1"/>
  <c r="Q51" i="1" s="1"/>
  <c r="M21" i="1" l="1"/>
  <c r="J37" i="1"/>
  <c r="J43" i="1" s="1"/>
  <c r="L21" i="1"/>
  <c r="H37" i="1"/>
  <c r="H43" i="1" s="1"/>
  <c r="F37" i="1"/>
  <c r="F43" i="1" s="1"/>
  <c r="D37" i="1"/>
  <c r="D43" i="1" s="1"/>
  <c r="L37" i="1" l="1"/>
  <c r="L43" i="1" s="1"/>
  <c r="M22" i="1"/>
  <c r="Q20" i="1"/>
  <c r="M20" i="1"/>
  <c r="U20" i="1" s="1"/>
  <c r="J65" i="7" s="1"/>
  <c r="O43" i="1"/>
  <c r="K23" i="1"/>
  <c r="G23" i="1"/>
  <c r="C23" i="1"/>
  <c r="O53" i="1"/>
  <c r="U38" i="1"/>
  <c r="U36" i="1"/>
  <c r="Q36" i="1"/>
  <c r="U35" i="1"/>
  <c r="Q35" i="1"/>
  <c r="U34" i="1"/>
  <c r="U33" i="1"/>
  <c r="U32" i="1"/>
  <c r="Q32" i="1"/>
  <c r="U31" i="1"/>
  <c r="Q31" i="1"/>
  <c r="U30" i="1"/>
  <c r="U29" i="1"/>
  <c r="U28" i="1"/>
  <c r="Q28" i="1"/>
  <c r="Q27" i="1"/>
  <c r="O23" i="1"/>
  <c r="J23" i="1"/>
  <c r="I23" i="1"/>
  <c r="H23" i="1"/>
  <c r="D23" i="1"/>
  <c r="F23" i="1"/>
  <c r="E23" i="1"/>
  <c r="B23" i="1"/>
  <c r="U21" i="1"/>
  <c r="J66" i="7" s="1"/>
  <c r="Q21" i="1"/>
  <c r="M19" i="1"/>
  <c r="L19" i="1"/>
  <c r="Q19" i="1" s="1"/>
  <c r="U15" i="1"/>
  <c r="J55" i="7" s="1"/>
  <c r="U14" i="1"/>
  <c r="J54" i="7" s="1"/>
  <c r="U12" i="1"/>
  <c r="U11" i="1"/>
  <c r="U10" i="1"/>
  <c r="U9" i="1"/>
  <c r="U8" i="1"/>
  <c r="U7" i="1"/>
  <c r="J51" i="7" s="1"/>
  <c r="U6" i="1"/>
  <c r="D55" i="1" l="1"/>
  <c r="O16" i="1"/>
  <c r="E55" i="1"/>
  <c r="U37" i="1"/>
  <c r="O55" i="1"/>
  <c r="Q29" i="1"/>
  <c r="Q33" i="1"/>
  <c r="Q30" i="1"/>
  <c r="Q34" i="1"/>
  <c r="G55" i="1"/>
  <c r="I55" i="1"/>
  <c r="F55" i="1"/>
  <c r="H55" i="1"/>
  <c r="K55" i="1"/>
  <c r="J55" i="1"/>
  <c r="C55" i="1"/>
  <c r="S23" i="1"/>
  <c r="M16" i="1"/>
  <c r="L16" i="1"/>
  <c r="S53" i="1"/>
  <c r="S16" i="1"/>
  <c r="U13" i="1"/>
  <c r="U53" i="1"/>
  <c r="U27" i="1"/>
  <c r="Q37" i="1"/>
  <c r="Q16" i="1"/>
  <c r="U40" i="1"/>
  <c r="U41" i="1"/>
  <c r="U42" i="1"/>
  <c r="Q53" i="1"/>
  <c r="U16" i="1" l="1"/>
  <c r="J53" i="7"/>
  <c r="J57" i="7" s="1"/>
  <c r="Q43" i="1"/>
  <c r="Q55" i="1" s="1"/>
  <c r="S24" i="1"/>
  <c r="Q22" i="1"/>
  <c r="Q23" i="1" s="1"/>
  <c r="M55" i="1"/>
  <c r="M56" i="1"/>
  <c r="S43" i="1"/>
  <c r="S55" i="1" s="1"/>
  <c r="U19" i="1"/>
  <c r="L23" i="1"/>
  <c r="U22" i="1"/>
  <c r="J67" i="7" s="1"/>
  <c r="J69" i="7" s="1"/>
  <c r="M23" i="1"/>
  <c r="L55" i="1"/>
  <c r="U39" i="1"/>
  <c r="U43" i="1" s="1"/>
  <c r="U55" i="1" s="1"/>
  <c r="L56" i="1"/>
  <c r="U23" i="1" l="1"/>
  <c r="U24" i="1" s="1"/>
</calcChain>
</file>

<file path=xl/sharedStrings.xml><?xml version="1.0" encoding="utf-8"?>
<sst xmlns="http://schemas.openxmlformats.org/spreadsheetml/2006/main" count="423" uniqueCount="301">
  <si>
    <t xml:space="preserve">Begin- en Eindbalans </t>
  </si>
  <si>
    <t>Hoofdadm.</t>
  </si>
  <si>
    <t>Noord</t>
  </si>
  <si>
    <t>Oost</t>
  </si>
  <si>
    <t>Reizen</t>
  </si>
  <si>
    <t>West</t>
  </si>
  <si>
    <t>PVAllianderPA</t>
  </si>
  <si>
    <t>consolidatie</t>
  </si>
  <si>
    <t>toel.</t>
  </si>
  <si>
    <t>DEBET</t>
  </si>
  <si>
    <t>0100 Computerapparatuur: Laptops, printers ed</t>
  </si>
  <si>
    <t>1100 ING - NL 54 INGB 0651 7745 43 - hoofd</t>
  </si>
  <si>
    <t>1101 ING - NL 18 INGB 0007 0707 05 - hoofd</t>
  </si>
  <si>
    <t>1120 ING -NL 29 INGB 00654 7386 - Noord</t>
  </si>
  <si>
    <t>1121 ING -NL 33 INGB 0008 2846 81- West</t>
  </si>
  <si>
    <t>1122 ING - NL 04 INGB 0008 2545 51- Oost</t>
  </si>
  <si>
    <t>1123 ING - NL 93 INGB 0009 3167 48 - Reizen</t>
  </si>
  <si>
    <t>1298 Kruisposten</t>
  </si>
  <si>
    <t>1301 Nog te Ontvangen Bedragen</t>
  </si>
  <si>
    <t>1302 Vooruitbetaalde Bedragen</t>
  </si>
  <si>
    <t>CREDIT</t>
  </si>
  <si>
    <t>1303 Vooruitontvangen bedragen</t>
  </si>
  <si>
    <t>1304 Nog te Betalen Bedragen</t>
  </si>
  <si>
    <t>2000 Eigen Vermogen</t>
  </si>
  <si>
    <t>Verlies- en Winstrekening</t>
  </si>
  <si>
    <t>UITGAVEN</t>
  </si>
  <si>
    <t>4001 Bestuurskosten West</t>
  </si>
  <si>
    <t>4002 Bestuurskosten Noord</t>
  </si>
  <si>
    <t>4003 Bestuurskosten Oost</t>
  </si>
  <si>
    <t>4004 Bestuurskosten Hoofd</t>
  </si>
  <si>
    <t>4005 Administratiekosten</t>
  </si>
  <si>
    <t>4006 Reiskosten</t>
  </si>
  <si>
    <t>4007 Bestuurskosten Reizen.</t>
  </si>
  <si>
    <t>4009 Algemene kosten</t>
  </si>
  <si>
    <t>4011 Bestuurskosten: zaalhuur nav vergadering ed</t>
  </si>
  <si>
    <t>4015 Adminiistratiekst - ICT hardware, software</t>
  </si>
  <si>
    <t>Activiteiten: saldo uitgaven en bijdragen deelnemers</t>
  </si>
  <si>
    <t>8000 Bijdragen Leden ***)</t>
  </si>
  <si>
    <t>8100 Bijdragen West</t>
  </si>
  <si>
    <t>8101 Bijdragen Noord</t>
  </si>
  <si>
    <t>8102 Bijdragen Oost</t>
  </si>
  <si>
    <t>8103 Bijdragen Reizen</t>
  </si>
  <si>
    <t>Totaal uitgaven</t>
  </si>
  <si>
    <t>ONTVANGSTEN</t>
  </si>
  <si>
    <t>8001 Bijdragen Donateurs</t>
  </si>
  <si>
    <t>8002 Bijdragen Alliander</t>
  </si>
  <si>
    <t>Totaal ontvangsten</t>
  </si>
  <si>
    <t>"Resultaat" (positief="verlies"; negatief="winst")</t>
  </si>
  <si>
    <t>Toelichting</t>
  </si>
  <si>
    <t>1) Kruisposten: interne verrekening afdelingen</t>
  </si>
  <si>
    <t>Computerapparatuur: Laptops, printers ed.</t>
  </si>
  <si>
    <t>grb.rkg: 0100</t>
  </si>
  <si>
    <t>ult.2018</t>
  </si>
  <si>
    <t>ult. 2019</t>
  </si>
  <si>
    <t>ult. 2020</t>
  </si>
  <si>
    <t>ult. 2021</t>
  </si>
  <si>
    <t>ult. 2022</t>
  </si>
  <si>
    <t>1a)</t>
  </si>
  <si>
    <t>1b)</t>
  </si>
  <si>
    <t>2)</t>
  </si>
  <si>
    <t>3)</t>
  </si>
  <si>
    <t>4)</t>
  </si>
  <si>
    <t>5)</t>
  </si>
  <si>
    <t>6)</t>
  </si>
  <si>
    <t>Activa. aanschaf 2015/2016 Boekwaarde ult. 2018 Apparatuur  secr. HB (Imac en printer)</t>
  </si>
  <si>
    <t>Activa. aanschaf 2015/2016 Boekwaarde ult. 2018 Laptop penningm. afd. West</t>
  </si>
  <si>
    <t>Activa aanschaf 2015/2016 BW ult 2018 Apparatuur tbv penningm. Nrd/Oost/HB</t>
  </si>
  <si>
    <t>Aankoop 26-11-2018 Office Centre 4 st. WD 2,5" Passport 3.0 1TB (back-up)</t>
  </si>
  <si>
    <t>Aankoop 27-07-2020 Office Centre 3 st LENOVO S145-15API Ryzen 3. factuur VS31014475. t.b.v.penningm. Nrd/Oost/HB.</t>
  </si>
  <si>
    <t>Aankoop 27-02-2021 Office Centre 1 st Lenovo laptop en WD ext. Schijf tbv Ledenadm.</t>
  </si>
  <si>
    <t>Aankoop 02-04-2021 Apple hardware en Seagate ext.schijf tbv secretariaat</t>
  </si>
  <si>
    <t>1a/1b)</t>
  </si>
  <si>
    <t>De aankopen in 2015/2016 zijn toen direkt t.l.v. de Bestuurskosten (exploitatie) geboekt.</t>
  </si>
  <si>
    <t xml:space="preserve">In 2018 is de boekwaarde van deze posten, totaal € 1.438,--, overgeboekt van exploitatie naar balans. </t>
  </si>
  <si>
    <t>1a) deze post is ultimo 2020 geheel afgeschreven. Apparatuur in 2021 vervangen.</t>
  </si>
  <si>
    <t>1b) deze post is ultimo 2020 geheel afgeschreven.</t>
  </si>
  <si>
    <r>
      <t>2) Laptop's zijn traag. In 2019 geheel afgeschreven.</t>
    </r>
    <r>
      <rPr>
        <u/>
        <sz val="10"/>
        <rFont val="Arial"/>
        <family val="2"/>
      </rPr>
      <t xml:space="preserve"> </t>
    </r>
    <r>
      <rPr>
        <sz val="10"/>
        <rFont val="Arial"/>
        <family val="2"/>
      </rPr>
      <t>In 2020 vervangen en onklaar gemaakt.</t>
    </r>
  </si>
  <si>
    <t>3) Externe harde schijf tbv penningmeesters HB, Noord, Oost en West. (afschr. 3 jaar)</t>
  </si>
  <si>
    <t>4) tbv penningmeesters HB/Nrd/Oost. Aankoop € 1,412,07. Afschr.2020: 6 mnd € 152,07</t>
  </si>
  <si>
    <t>afschrijving 2021 tm 2024 € 280,00 p.jr. In 2025 € 140,00 (6 mnd.)</t>
  </si>
  <si>
    <t>tbv ledenadministratie: Aankoop € 523,92.</t>
  </si>
  <si>
    <t>tbv secretariaat. Aankoop € 1,528,22</t>
  </si>
  <si>
    <t>Hoofdadm</t>
  </si>
  <si>
    <t>Omschrijving</t>
  </si>
  <si>
    <t>Nog te ontvangen bedragen (1301)</t>
  </si>
  <si>
    <t>Nog te betalen bedragen (1304)</t>
  </si>
  <si>
    <t>Totaal</t>
  </si>
  <si>
    <t>Boekhouding</t>
  </si>
  <si>
    <t>De financiële verantwoording geschiedt met behulp van het boekhoudprogramma "Snelstart".</t>
  </si>
  <si>
    <t>De penningmeesters van de afdelingen kunnen alleen in hun eigen administratie muteren.</t>
  </si>
  <si>
    <t>De afdelingen verantwoorden de inkomsten en uitgaven t.b.v. een activiteit, naast Snelstart, ook nog in een Excel-bestand.</t>
  </si>
  <si>
    <t>Resultaat 2015:</t>
  </si>
  <si>
    <t>nadelig</t>
  </si>
  <si>
    <t>Resultaat 2016</t>
  </si>
  <si>
    <t>Resultaat 2018</t>
  </si>
  <si>
    <t>Resultaat 2019</t>
  </si>
  <si>
    <t>voordelig</t>
  </si>
  <si>
    <t>Resultaat 2020</t>
  </si>
  <si>
    <t>Resultaat 2021</t>
  </si>
  <si>
    <t>Resultaat 2022</t>
  </si>
  <si>
    <t>Debet</t>
  </si>
  <si>
    <t>Rekening</t>
  </si>
  <si>
    <t>0100</t>
  </si>
  <si>
    <t>t/m</t>
  </si>
  <si>
    <t>Kruisposten</t>
  </si>
  <si>
    <t>Nog te Ontvangen Bedragen</t>
  </si>
  <si>
    <t>idem</t>
  </si>
  <si>
    <t>Credit</t>
  </si>
  <si>
    <t>Vooruitontvangen Bedragen</t>
  </si>
  <si>
    <t>Nog te Betalen Bedragen</t>
  </si>
  <si>
    <t>Eigen Vermogen</t>
  </si>
  <si>
    <t>Uitgaven</t>
  </si>
  <si>
    <t>Bestuurs-, Administratie-, Reis- en Algemene kosten</t>
  </si>
  <si>
    <t>Begroot</t>
  </si>
  <si>
    <t>Werkelijk</t>
  </si>
  <si>
    <t>Bestuurskosten</t>
  </si>
  <si>
    <t>id</t>
  </si>
  <si>
    <t>Administratiekosten</t>
  </si>
  <si>
    <t>Reiskosten (km-vergoeding)</t>
  </si>
  <si>
    <t>Algemene kosten</t>
  </si>
  <si>
    <t>Zaalhuur nav vergaderingen</t>
  </si>
  <si>
    <t>Kosten ICT (hardware, Software)</t>
  </si>
  <si>
    <t>Hoofd</t>
  </si>
  <si>
    <t>d</t>
  </si>
  <si>
    <t>Afdeling Noord:</t>
  </si>
  <si>
    <t>Afdeling Oost</t>
  </si>
  <si>
    <t>Afdeling Reizen</t>
  </si>
  <si>
    <t>Afdeling West</t>
  </si>
  <si>
    <t xml:space="preserve"> </t>
  </si>
  <si>
    <t>8000: Leden</t>
  </si>
  <si>
    <t>contributie p/jr. € 46,50</t>
  </si>
  <si>
    <t>Ereleden</t>
  </si>
  <si>
    <t>geen contributie</t>
  </si>
  <si>
    <t>8002: Bijdrage Alliander</t>
  </si>
  <si>
    <t>Akkoord:</t>
  </si>
  <si>
    <t>Voorzitter.</t>
  </si>
  <si>
    <t>Secretaris.</t>
  </si>
  <si>
    <t>Penningmeester.</t>
  </si>
  <si>
    <t>R. Sandwijk</t>
  </si>
  <si>
    <t>H. van Dijk</t>
  </si>
  <si>
    <t xml:space="preserve"> 1) verrekening met begrotingsjaar 2021</t>
  </si>
  <si>
    <t>Mutaties 2018 op het Eigen Vermogen.</t>
  </si>
  <si>
    <t>7)</t>
  </si>
  <si>
    <t>Ult.2023</t>
  </si>
  <si>
    <t>Aankoop 10-05-2023: Laptop t.b.v. afd. West</t>
  </si>
  <si>
    <t>Daclaratie A. Povel</t>
  </si>
  <si>
    <t>In Snelstart zijn 5 administraties ingericht, één voor elk van de 4 afdelingen en één voor de Hoofdadministratie.</t>
  </si>
  <si>
    <t>Resultaat 2023</t>
  </si>
  <si>
    <t>zie tabblad: overige bal.pst.ult.2023</t>
  </si>
  <si>
    <t>Bestuurskosten Reizen</t>
  </si>
  <si>
    <t>Ult.2024</t>
  </si>
  <si>
    <t>8)</t>
  </si>
  <si>
    <t xml:space="preserve">8) </t>
  </si>
  <si>
    <t xml:space="preserve">Aankoop eind december 2024 laptop P Deijl </t>
  </si>
  <si>
    <t>Vooruitontvangen bedragen (1303)</t>
  </si>
  <si>
    <t>Vooruitbetaalde bedragen ((1302)</t>
  </si>
  <si>
    <t>Resultaat 2024</t>
  </si>
  <si>
    <t>Vooruitbetaalde bedragen</t>
  </si>
  <si>
    <t xml:space="preserve">versie : </t>
  </si>
  <si>
    <t xml:space="preserve">Boekwaarde </t>
  </si>
  <si>
    <t xml:space="preserve">Afschrijving </t>
  </si>
  <si>
    <t>Ult.2025</t>
  </si>
  <si>
    <t xml:space="preserve">totaal </t>
  </si>
  <si>
    <t xml:space="preserve">TE VORDEREN </t>
  </si>
  <si>
    <t xml:space="preserve">TE BETALEN </t>
  </si>
  <si>
    <t>Te Verekenen km HA tbv met Afd Reizen (spec  GB REK 4007</t>
  </si>
  <si>
    <t xml:space="preserve">Anticipatie Kst Bet Verkeer ING maand December 2025 </t>
  </si>
  <si>
    <t xml:space="preserve">Snelstart maand december 2025 </t>
  </si>
  <si>
    <t xml:space="preserve">Decl P Deijl 2e t/m 4e KW 2025 Verg 4 kwartalen </t>
  </si>
  <si>
    <t>Declaratie B. de Haan maart Hema bon niet ontvangen</t>
  </si>
  <si>
    <t>Paasworkshop bloemschikken in Apeldoorn 2025/04/16</t>
  </si>
  <si>
    <t>Kerst workshop  in Apeldoorn</t>
  </si>
  <si>
    <t>Declaratie C. Vietor Kerstbrunch</t>
  </si>
  <si>
    <t xml:space="preserve">Kosten Zakelijk Betalingsverkeer   Factuurnr. 2368111482  </t>
  </si>
  <si>
    <t>Kosten Zakelijk Betalingsverkeer   december 2025</t>
  </si>
  <si>
    <t>Te vorderen NOORD van HA  Km HbOlthof  66,= en 84,=</t>
  </si>
  <si>
    <t>Te vorderen door OOST op HA  km P Wentink 213,60</t>
  </si>
  <si>
    <t xml:space="preserve">Te vorderen door OOST op HA  km T Wullings  ledenwerving Asd </t>
  </si>
  <si>
    <t xml:space="preserve">Samenvatting overige rekeningen </t>
  </si>
  <si>
    <t>Toelichting Inkomsten boekjaar 2025</t>
  </si>
  <si>
    <t>De vereniging heeft 2 bronnen van inkomsten:</t>
  </si>
  <si>
    <t xml:space="preserve">A </t>
  </si>
  <si>
    <t xml:space="preserve">Contributie van Leden </t>
  </si>
  <si>
    <t>a1</t>
  </si>
  <si>
    <t xml:space="preserve">Contributie: </t>
  </si>
  <si>
    <t xml:space="preserve">In het boekjaar 2025 werd een uniform contributietarief gehanteerd van Euro 46,50 per jaar  </t>
  </si>
  <si>
    <t>Jaarlijks wordt in het voorjaar (mei) de contributie geincasseerd bij de leden op basis van het actuele ledenbestand.</t>
  </si>
  <si>
    <t>Een uitzondering wordt gevormd door 6 " ereleden", zij betalen geen contributie.</t>
  </si>
  <si>
    <t xml:space="preserve">Nieuwe leden betalen naar rato contributie voor de periode dat zij in het 1e jaar lid zijn. </t>
  </si>
  <si>
    <t>a2</t>
  </si>
  <si>
    <t xml:space="preserve">Ledenaantal </t>
  </si>
  <si>
    <t xml:space="preserve">Jaar </t>
  </si>
  <si>
    <t>maand</t>
  </si>
  <si>
    <t xml:space="preserve">aantal leden </t>
  </si>
  <si>
    <t>december</t>
  </si>
  <si>
    <t xml:space="preserve">mei </t>
  </si>
  <si>
    <t xml:space="preserve">december </t>
  </si>
  <si>
    <t>Belangrijkste oorzaak van de afname is de vergrijzing van onze leden en het geringe aantal nieuwe leden.</t>
  </si>
  <si>
    <t>De werving van nieuwe leden is er vooral op gericht dat ook "werkenden" van Alliander de weg naar de personeelsvereniging weten te vinden.</t>
  </si>
  <si>
    <t>Nieuwe leden vormen de basis voor het voortbestaan van de personeelsvereniging en continuiteit in de vervulling van bestuursfuncties.</t>
  </si>
  <si>
    <t xml:space="preserve">a3 </t>
  </si>
  <si>
    <t>Contributie opbrengsten 2025 in cijfers  (afgerond)</t>
  </si>
  <si>
    <t xml:space="preserve">Geincasserd in mei 2025: </t>
  </si>
  <si>
    <t xml:space="preserve">Afd. Noord </t>
  </si>
  <si>
    <t>Afd. West</t>
  </si>
  <si>
    <t xml:space="preserve">Afd.Oost (incl Reizen) </t>
  </si>
  <si>
    <t xml:space="preserve">Totaal </t>
  </si>
  <si>
    <t xml:space="preserve">Aantal leden (incl. ereleden)  </t>
  </si>
  <si>
    <t xml:space="preserve">Per ING bank geincasseerde contributie </t>
  </si>
  <si>
    <t xml:space="preserve">Mutaties na incassodatum: </t>
  </si>
  <si>
    <t xml:space="preserve">Retour betaaald </t>
  </si>
  <si>
    <t>Storno's</t>
  </si>
  <si>
    <t>Nieuwe Leden</t>
  </si>
  <si>
    <t>Netto ontvangen contributie 2025</t>
  </si>
  <si>
    <t xml:space="preserve">B </t>
  </si>
  <si>
    <t>Bijdrage van Alliander</t>
  </si>
  <si>
    <t xml:space="preserve">Jaarlijks vindt overleg plaats over de hoogte van de bijdrage van Alliander aan de Personeelsvereniging PV PA. </t>
  </si>
  <si>
    <t xml:space="preserve">Bijdrage 2025 van Alliander </t>
  </si>
  <si>
    <t xml:space="preserve">Totaal inkomsten PV PA  uit Contributies en bijdrage van Alliander NV </t>
  </si>
  <si>
    <t>tabblad: Toelichting Inkomsten 2025</t>
  </si>
  <si>
    <t>De 1e penningmeester en de 2e penningmeester van het Hoofdbestuur kunnen in alle vijf de administratie's werken.</t>
  </si>
  <si>
    <t>De 1e penningmeester en de 2e penningmeester van het Hoofdbestuur hebben als "Administrator"alle rechten in Snelstart .</t>
  </si>
  <si>
    <t xml:space="preserve">De ontwikkeling van het Eigen Vermogen is als volgt: </t>
  </si>
  <si>
    <t>Resultaat 2025</t>
  </si>
  <si>
    <t xml:space="preserve">nadelig </t>
  </si>
  <si>
    <t>tabblad: Toelichting 2025</t>
  </si>
  <si>
    <t>ult.2024</t>
  </si>
  <si>
    <t>ult. 2025</t>
  </si>
  <si>
    <t>Best kst HA</t>
  </si>
  <si>
    <t xml:space="preserve">P.L.Deijl </t>
  </si>
  <si>
    <t xml:space="preserve">(incl. ereleden, gelieerde leden en nieuwe leden) </t>
  </si>
  <si>
    <t>TOTAAL UITGAVEN 2025</t>
  </si>
  <si>
    <t>Darum :….............................................</t>
  </si>
  <si>
    <t>Bijdragen Leden en Alliander 2025</t>
  </si>
  <si>
    <t>(740 leden en 6 ereleden)</t>
  </si>
  <si>
    <t>Verr. met afd. West: act. 2025010102 Oude Gemaal HHW</t>
  </si>
  <si>
    <t>Overb km H v Dijk act 2025040102 Fietsreis Moeze/Saar 19/6</t>
  </si>
  <si>
    <t xml:space="preserve">Doorbelasting bjr 2025  km aan Afd Reizen </t>
  </si>
  <si>
    <t>Doorbelasting Reiskn West aan Hoofd admin.</t>
  </si>
  <si>
    <t xml:space="preserve"> Km HbOlthof  66,= en 84,= Reiskosten NOORD tbv Hoofdadmin. </t>
  </si>
  <si>
    <t xml:space="preserve">Te vorderen door OOST op HA  km P Wentink 213,60 Reiskst </t>
  </si>
  <si>
    <t>B. Sluijter reiskosten HB</t>
  </si>
  <si>
    <t>B. Sluijter km verg. HB</t>
  </si>
  <si>
    <t xml:space="preserve">Penningm.overleg km vergoeding </t>
  </si>
  <si>
    <t>km verg. HB B. Sluijter</t>
  </si>
  <si>
    <t>2025010102 Oude Gemaal: verrekening met adm. HB</t>
  </si>
  <si>
    <t>Beginbalans</t>
  </si>
  <si>
    <t>B. Sluijter</t>
  </si>
  <si>
    <t>ING Zak rek december 2024</t>
  </si>
  <si>
    <t xml:space="preserve">Factuur de Engel </t>
  </si>
  <si>
    <t>Declaratie B. Sluijter Kerstbrunch</t>
  </si>
  <si>
    <t xml:space="preserve">Het samenvoegen van de reisactiviteiten heeft in 2025 een groei van 23 nieuwe aanmeldingen teweeg gebracht.  </t>
  </si>
  <si>
    <t xml:space="preserve">De zichtbaarheid van de Personeelsvereniging wordt vergroot door zoveel mogelijk aan te sluiten bij interne Alliander bijeenkomsten zoals de "Technische dag ". </t>
  </si>
  <si>
    <t xml:space="preserve">Kolommenbalans met toelichting en specificaties alle afdelingen </t>
  </si>
  <si>
    <t xml:space="preserve">Jaarrekening 2025 Personeelsvereniging Alliander PV PA   </t>
  </si>
  <si>
    <t xml:space="preserve">CONCEPT </t>
  </si>
  <si>
    <t>tabblad: Specificatie 0100 Computerapp. e.d.</t>
  </si>
  <si>
    <t>opm.</t>
  </si>
  <si>
    <t xml:space="preserve">Onjuiste afloop beginbalans (39,19)  wordt in 2026 verwerkt  </t>
  </si>
  <si>
    <t>Tabblad:  Overige balansposten ult. 2025    (Rek Courant 1298 Kruisposten, 1301 Nog te vorderen en 1304 Nog te betalen bedragen )</t>
  </si>
  <si>
    <t>Inmiddels heeft Alliander NV mondeling toegezegd dat de bijdrage voor 2026 eveneens 30.000,= zal bedragen.</t>
  </si>
  <si>
    <t xml:space="preserve">De penningmeesters van de afdelingen zijn bevoegd tot het uitvoeren van betalingen en incasso's van de bankrekening van hun eigen afdeling </t>
  </si>
  <si>
    <t xml:space="preserve">De 1e penningmeester en de 2e penningmeester van het Hoofdbestuur hebben toegang tot alle bankreningen van de PV </t>
  </si>
  <si>
    <t xml:space="preserve">8000 Bijdragen Leden  </t>
  </si>
  <si>
    <t>De afschrijvingstermijn was 5 jaar.</t>
  </si>
  <si>
    <t>Factuur Cool Bleu, de afschrijvingstermijn voor comp. app. is 3 jaar</t>
  </si>
  <si>
    <t xml:space="preserve">Vordering op Afd Reizen 2025040102 Fietst. Moezel H v Dijk 164 km </t>
  </si>
  <si>
    <t>Kruisposten (1298) / 4004</t>
  </si>
  <si>
    <r>
      <rPr>
        <u/>
        <sz val="10"/>
        <color theme="1"/>
        <rFont val="Arial"/>
        <family val="2"/>
      </rPr>
      <t>Opm.</t>
    </r>
    <r>
      <rPr>
        <sz val="10"/>
        <color theme="1"/>
        <rFont val="Arial"/>
        <family val="2"/>
      </rPr>
      <t xml:space="preserve"> 1304 Nog te betalen bedragen Afd. West</t>
    </r>
  </si>
  <si>
    <t xml:space="preserve">gb rek 8000 Bijdragen Leden </t>
  </si>
  <si>
    <t xml:space="preserve">gb rek 8002 Bijdragen Alliander </t>
  </si>
  <si>
    <t>o.b.v. controlelijsten april 2025</t>
  </si>
  <si>
    <t>Hierdoor wordt de continuiteit van de administratieve werkzaamheden gewaarborgd.</t>
  </si>
  <si>
    <t>Het Excel-bestand geeft dan inzicht in afwijkingen tussen begroting en realisatie van de activiteit voor zowel aantallen deelnemers als bedragen.</t>
  </si>
  <si>
    <t xml:space="preserve">Administratie: </t>
  </si>
  <si>
    <t>Betalingen en incasso ledenbijdragen:</t>
  </si>
  <si>
    <t xml:space="preserve">De penningmeesters van de afdelingen incaseren deelnemingsbijdragen van de activiteiten. </t>
  </si>
  <si>
    <t>De penningmeester van  het Hoofdbestuur incasseert de jaarlijkse contributie van de leden.</t>
  </si>
  <si>
    <t xml:space="preserve">Overig: </t>
  </si>
  <si>
    <t>Jaarlijks vindt overleg plaats met Alliander over een eventuele financiele bijdrage aan de vereniging.</t>
  </si>
  <si>
    <t xml:space="preserve">Overschotten en tekorten in de exploitatie van de vereniging worden toegevoegd aan het Eigen Vermogen. </t>
  </si>
  <si>
    <t>Resultaat 2017</t>
  </si>
  <si>
    <t>Beginstand per 12 juni 2015 volgens de "Ontvlechtingsovereenkomst"</t>
  </si>
  <si>
    <t>Eigen vermogen ultimo boekjr:</t>
  </si>
  <si>
    <t>zie tabblad: Overige balansposten Ult.  2025</t>
  </si>
  <si>
    <t xml:space="preserve">Bankrekeningen ING: </t>
  </si>
  <si>
    <t xml:space="preserve">Saldi per ultimo 2025  Totaal </t>
  </si>
  <si>
    <t xml:space="preserve"> zie tabblad 0100 Comp.app. enz.</t>
  </si>
  <si>
    <t>TOTAAL</t>
  </si>
  <si>
    <t>TOTAAL BALANS DEBET</t>
  </si>
  <si>
    <t>TOTAAL BALANS CREDIT</t>
  </si>
  <si>
    <t>Toelichting bij de Verlies en Winstrekening boekjaar 2025</t>
  </si>
  <si>
    <t>zie toelichting Boekhouding</t>
  </si>
  <si>
    <t xml:space="preserve">Ontvangsten </t>
  </si>
  <si>
    <t>TOTAAL ONTVANGSTEN  2025</t>
  </si>
  <si>
    <t>RESULTAAT BOEKJAAR 2025</t>
  </si>
  <si>
    <t>Toelichting Boekjaar 2025</t>
  </si>
  <si>
    <t>Toelichting balans per 31-12-2025</t>
  </si>
  <si>
    <t xml:space="preserve">Activiteiten (saldo van kosten en deelnemersbijdragen) </t>
  </si>
  <si>
    <t xml:space="preserve">De personeelsvereniging heeft een afnemend aantal leden: </t>
  </si>
  <si>
    <t>(vlg. controlelijsten mei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</si>
</sst>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/yy;@"/>
    <numFmt numFmtId="165" formatCode="#,##0.00;\-#,##0.00;&quot;&quot;"/>
    <numFmt numFmtId="166" formatCode="&quot;€&quot;\ #,##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4"/>
      <color theme="1"/>
      <name val="Arial"/>
      <family val="2"/>
    </font>
    <font>
      <sz val="12"/>
      <color theme="1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i/>
      <sz val="10"/>
      <color theme="1"/>
      <name val="Arial"/>
      <family val="2"/>
    </font>
    <font>
      <sz val="9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Segoe UI"/>
      <family val="2"/>
    </font>
    <font>
      <sz val="9"/>
      <name val="Segoe UI"/>
      <family val="2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2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0" xfId="0" applyNumberFormat="1"/>
    <xf numFmtId="0" fontId="0" fillId="0" borderId="0" xfId="0" quotePrefix="1" applyAlignment="1">
      <alignment horizontal="left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/>
    <xf numFmtId="4" fontId="0" fillId="0" borderId="4" xfId="0" applyNumberFormat="1" applyBorder="1"/>
    <xf numFmtId="4" fontId="0" fillId="0" borderId="6" xfId="0" applyNumberFormat="1" applyBorder="1" applyAlignment="1">
      <alignment horizontal="right"/>
    </xf>
    <xf numFmtId="4" fontId="0" fillId="0" borderId="6" xfId="0" applyNumberFormat="1" applyBorder="1"/>
    <xf numFmtId="4" fontId="0" fillId="0" borderId="5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6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4" fontId="0" fillId="0" borderId="8" xfId="0" applyNumberFormat="1" applyBorder="1"/>
    <xf numFmtId="4" fontId="0" fillId="0" borderId="9" xfId="0" applyNumberFormat="1" applyBorder="1"/>
    <xf numFmtId="4" fontId="0" fillId="0" borderId="10" xfId="0" applyNumberFormat="1" applyBorder="1"/>
    <xf numFmtId="4" fontId="0" fillId="0" borderId="11" xfId="0" applyNumberFormat="1" applyBorder="1"/>
    <xf numFmtId="1" fontId="0" fillId="0" borderId="6" xfId="0" applyNumberFormat="1" applyBorder="1" applyAlignment="1">
      <alignment horizontal="center"/>
    </xf>
    <xf numFmtId="3" fontId="0" fillId="0" borderId="0" xfId="0" applyNumberFormat="1"/>
    <xf numFmtId="0" fontId="0" fillId="0" borderId="6" xfId="0" applyBorder="1"/>
    <xf numFmtId="3" fontId="0" fillId="0" borderId="6" xfId="0" applyNumberFormat="1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left"/>
    </xf>
    <xf numFmtId="4" fontId="0" fillId="0" borderId="7" xfId="0" applyNumberFormat="1" applyBorder="1"/>
    <xf numFmtId="4" fontId="0" fillId="0" borderId="12" xfId="0" applyNumberFormat="1" applyBorder="1"/>
    <xf numFmtId="1" fontId="0" fillId="0" borderId="3" xfId="0" applyNumberFormat="1" applyBorder="1" applyAlignment="1">
      <alignment horizontal="center"/>
    </xf>
    <xf numFmtId="0" fontId="0" fillId="0" borderId="0" xfId="0" quotePrefix="1"/>
    <xf numFmtId="4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16" xfId="0" applyNumberFormat="1" applyBorder="1"/>
    <xf numFmtId="4" fontId="0" fillId="0" borderId="15" xfId="0" applyNumberFormat="1" applyBorder="1"/>
    <xf numFmtId="4" fontId="0" fillId="0" borderId="17" xfId="0" applyNumberFormat="1" applyBorder="1"/>
    <xf numFmtId="4" fontId="0" fillId="0" borderId="8" xfId="0" applyNumberForma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4" fillId="0" borderId="0" xfId="0" applyFont="1" applyAlignment="1">
      <alignment horizontal="right"/>
    </xf>
    <xf numFmtId="4" fontId="4" fillId="0" borderId="5" xfId="0" applyNumberFormat="1" applyFont="1" applyBorder="1"/>
    <xf numFmtId="4" fontId="4" fillId="0" borderId="0" xfId="0" applyNumberFormat="1" applyFont="1"/>
    <xf numFmtId="4" fontId="4" fillId="0" borderId="12" xfId="0" applyNumberFormat="1" applyFont="1" applyBorder="1"/>
    <xf numFmtId="4" fontId="4" fillId="0" borderId="1" xfId="0" applyNumberFormat="1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10" fillId="0" borderId="0" xfId="0" applyFont="1"/>
    <xf numFmtId="0" fontId="4" fillId="0" borderId="0" xfId="0" quotePrefix="1" applyFont="1"/>
    <xf numFmtId="0" fontId="11" fillId="0" borderId="0" xfId="0" applyFont="1" applyAlignment="1">
      <alignment vertical="center"/>
    </xf>
    <xf numFmtId="0" fontId="12" fillId="0" borderId="0" xfId="0" applyFont="1"/>
    <xf numFmtId="4" fontId="12" fillId="0" borderId="0" xfId="0" applyNumberFormat="1" applyFont="1"/>
    <xf numFmtId="0" fontId="13" fillId="0" borderId="0" xfId="0" applyFont="1"/>
    <xf numFmtId="0" fontId="13" fillId="0" borderId="15" xfId="0" applyFont="1" applyBorder="1"/>
    <xf numFmtId="0" fontId="12" fillId="0" borderId="15" xfId="0" applyFont="1" applyBorder="1"/>
    <xf numFmtId="0" fontId="14" fillId="0" borderId="0" xfId="0" applyFont="1"/>
    <xf numFmtId="0" fontId="16" fillId="0" borderId="0" xfId="0" applyFont="1"/>
    <xf numFmtId="4" fontId="12" fillId="0" borderId="14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14" xfId="0" applyFont="1" applyBorder="1"/>
    <xf numFmtId="4" fontId="4" fillId="0" borderId="27" xfId="0" applyNumberFormat="1" applyFont="1" applyBorder="1"/>
    <xf numFmtId="0" fontId="1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4" fontId="4" fillId="0" borderId="4" xfId="0" applyNumberFormat="1" applyFont="1" applyBorder="1"/>
    <xf numFmtId="4" fontId="4" fillId="0" borderId="6" xfId="0" applyNumberFormat="1" applyFont="1" applyBorder="1"/>
    <xf numFmtId="0" fontId="4" fillId="0" borderId="8" xfId="0" applyFont="1" applyBorder="1"/>
    <xf numFmtId="4" fontId="4" fillId="0" borderId="18" xfId="0" applyNumberFormat="1" applyFont="1" applyBorder="1"/>
    <xf numFmtId="4" fontId="4" fillId="0" borderId="19" xfId="0" applyNumberFormat="1" applyFont="1" applyBorder="1"/>
    <xf numFmtId="0" fontId="4" fillId="0" borderId="1" xfId="0" applyFont="1" applyBorder="1"/>
    <xf numFmtId="0" fontId="4" fillId="0" borderId="20" xfId="0" applyFont="1" applyBorder="1"/>
    <xf numFmtId="0" fontId="19" fillId="0" borderId="0" xfId="0" applyFont="1" applyAlignment="1">
      <alignment horizontal="right" vertical="center"/>
    </xf>
    <xf numFmtId="3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4" fillId="0" borderId="3" xfId="0" applyFont="1" applyBorder="1"/>
    <xf numFmtId="0" fontId="4" fillId="0" borderId="5" xfId="0" applyFont="1" applyBorder="1"/>
    <xf numFmtId="4" fontId="13" fillId="2" borderId="0" xfId="0" applyNumberFormat="1" applyFont="1" applyFill="1"/>
    <xf numFmtId="4" fontId="0" fillId="2" borderId="0" xfId="0" applyNumberFormat="1" applyFill="1"/>
    <xf numFmtId="4" fontId="4" fillId="2" borderId="0" xfId="0" applyNumberFormat="1" applyFont="1" applyFill="1"/>
    <xf numFmtId="0" fontId="4" fillId="2" borderId="0" xfId="0" applyFont="1" applyFill="1"/>
    <xf numFmtId="0" fontId="0" fillId="2" borderId="0" xfId="0" applyFill="1"/>
    <xf numFmtId="4" fontId="4" fillId="2" borderId="4" xfId="0" applyNumberFormat="1" applyFont="1" applyFill="1" applyBorder="1"/>
    <xf numFmtId="4" fontId="4" fillId="2" borderId="6" xfId="0" applyNumberFormat="1" applyFont="1" applyFill="1" applyBorder="1"/>
    <xf numFmtId="4" fontId="4" fillId="2" borderId="8" xfId="0" applyNumberFormat="1" applyFont="1" applyFill="1" applyBorder="1"/>
    <xf numFmtId="0" fontId="4" fillId="2" borderId="0" xfId="0" applyFont="1" applyFill="1" applyAlignment="1">
      <alignment horizontal="right"/>
    </xf>
    <xf numFmtId="0" fontId="4" fillId="2" borderId="0" xfId="0" quotePrefix="1" applyFont="1" applyFill="1" applyAlignment="1">
      <alignment horizontal="left"/>
    </xf>
    <xf numFmtId="4" fontId="4" fillId="2" borderId="5" xfId="0" applyNumberFormat="1" applyFont="1" applyFill="1" applyBorder="1"/>
    <xf numFmtId="0" fontId="0" fillId="0" borderId="5" xfId="0" applyBorder="1"/>
    <xf numFmtId="4" fontId="4" fillId="0" borderId="13" xfId="0" applyNumberFormat="1" applyFont="1" applyBorder="1"/>
    <xf numFmtId="0" fontId="4" fillId="2" borderId="6" xfId="0" applyFont="1" applyFill="1" applyBorder="1"/>
    <xf numFmtId="4" fontId="8" fillId="0" borderId="0" xfId="0" applyNumberFormat="1" applyFont="1"/>
    <xf numFmtId="0" fontId="4" fillId="0" borderId="7" xfId="0" applyFont="1" applyBorder="1"/>
    <xf numFmtId="0" fontId="4" fillId="0" borderId="13" xfId="0" applyFont="1" applyBorder="1" applyAlignment="1">
      <alignment horizontal="right"/>
    </xf>
    <xf numFmtId="4" fontId="2" fillId="0" borderId="3" xfId="0" applyNumberFormat="1" applyFont="1" applyBorder="1"/>
    <xf numFmtId="0" fontId="2" fillId="2" borderId="0" xfId="0" applyFont="1" applyFill="1" applyAlignment="1">
      <alignment horizontal="center"/>
    </xf>
    <xf numFmtId="4" fontId="13" fillId="0" borderId="25" xfId="0" applyNumberFormat="1" applyFont="1" applyBorder="1"/>
    <xf numFmtId="4" fontId="13" fillId="0" borderId="0" xfId="0" applyNumberFormat="1" applyFont="1"/>
    <xf numFmtId="4" fontId="13" fillId="0" borderId="14" xfId="0" applyNumberFormat="1" applyFont="1" applyBorder="1"/>
    <xf numFmtId="0" fontId="12" fillId="0" borderId="3" xfId="0" applyFont="1" applyBorder="1" applyAlignment="1">
      <alignment horizontal="center"/>
    </xf>
    <xf numFmtId="0" fontId="21" fillId="0" borderId="0" xfId="0" applyFont="1"/>
    <xf numFmtId="4" fontId="0" fillId="0" borderId="3" xfId="0" applyNumberFormat="1" applyBorder="1"/>
    <xf numFmtId="14" fontId="0" fillId="0" borderId="4" xfId="0" applyNumberFormat="1" applyBorder="1" applyAlignment="1">
      <alignment horizontal="center"/>
    </xf>
    <xf numFmtId="0" fontId="0" fillId="0" borderId="28" xfId="0" applyBorder="1"/>
    <xf numFmtId="4" fontId="1" fillId="0" borderId="10" xfId="0" applyNumberFormat="1" applyFont="1" applyBorder="1"/>
    <xf numFmtId="2" fontId="0" fillId="0" borderId="4" xfId="0" applyNumberFormat="1" applyBorder="1"/>
    <xf numFmtId="2" fontId="0" fillId="0" borderId="6" xfId="0" applyNumberFormat="1" applyBorder="1"/>
    <xf numFmtId="2" fontId="0" fillId="0" borderId="3" xfId="0" applyNumberFormat="1" applyBorder="1"/>
    <xf numFmtId="2" fontId="0" fillId="0" borderId="0" xfId="0" applyNumberFormat="1"/>
    <xf numFmtId="164" fontId="1" fillId="0" borderId="3" xfId="0" applyNumberFormat="1" applyFont="1" applyBorder="1" applyAlignment="1">
      <alignment horizontal="center"/>
    </xf>
    <xf numFmtId="0" fontId="1" fillId="0" borderId="0" xfId="0" applyFont="1"/>
    <xf numFmtId="0" fontId="22" fillId="0" borderId="0" xfId="0" applyFont="1" applyAlignment="1">
      <alignment horizontal="center"/>
    </xf>
    <xf numFmtId="0" fontId="23" fillId="0" borderId="20" xfId="0" applyFont="1" applyBorder="1"/>
    <xf numFmtId="4" fontId="4" fillId="0" borderId="13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/>
    </xf>
    <xf numFmtId="0" fontId="4" fillId="0" borderId="13" xfId="0" applyFont="1" applyBorder="1"/>
    <xf numFmtId="0" fontId="4" fillId="0" borderId="15" xfId="0" applyFont="1" applyBorder="1"/>
    <xf numFmtId="0" fontId="4" fillId="0" borderId="19" xfId="0" applyFont="1" applyBorder="1"/>
    <xf numFmtId="0" fontId="4" fillId="0" borderId="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" fontId="4" fillId="0" borderId="7" xfId="0" applyNumberFormat="1" applyFont="1" applyBorder="1"/>
    <xf numFmtId="4" fontId="4" fillId="0" borderId="8" xfId="0" applyNumberFormat="1" applyFont="1" applyBorder="1"/>
    <xf numFmtId="4" fontId="4" fillId="0" borderId="3" xfId="0" applyNumberFormat="1" applyFont="1" applyBorder="1"/>
    <xf numFmtId="0" fontId="25" fillId="0" borderId="0" xfId="0" applyFont="1"/>
    <xf numFmtId="0" fontId="4" fillId="0" borderId="4" xfId="0" applyFont="1" applyBorder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4" fillId="0" borderId="0" xfId="0" applyFont="1"/>
    <xf numFmtId="0" fontId="2" fillId="0" borderId="2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13" xfId="0" applyBorder="1"/>
    <xf numFmtId="0" fontId="4" fillId="2" borderId="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" fontId="0" fillId="2" borderId="5" xfId="0" applyNumberFormat="1" applyFill="1" applyBorder="1"/>
    <xf numFmtId="0" fontId="0" fillId="0" borderId="32" xfId="0" applyBorder="1"/>
    <xf numFmtId="0" fontId="0" fillId="0" borderId="20" xfId="0" applyBorder="1"/>
    <xf numFmtId="0" fontId="12" fillId="0" borderId="3" xfId="0" applyFont="1" applyBorder="1"/>
    <xf numFmtId="49" fontId="27" fillId="0" borderId="0" xfId="0" applyNumberFormat="1" applyFont="1"/>
    <xf numFmtId="0" fontId="12" fillId="0" borderId="7" xfId="0" applyFont="1" applyBorder="1" applyAlignment="1">
      <alignment horizontal="left"/>
    </xf>
    <xf numFmtId="0" fontId="12" fillId="0" borderId="18" xfId="0" applyFont="1" applyBorder="1" applyAlignment="1">
      <alignment horizontal="center"/>
    </xf>
    <xf numFmtId="0" fontId="27" fillId="0" borderId="0" xfId="0" applyFont="1"/>
    <xf numFmtId="0" fontId="12" fillId="0" borderId="5" xfId="0" applyFont="1" applyBorder="1" applyAlignment="1">
      <alignment horizontal="left"/>
    </xf>
    <xf numFmtId="0" fontId="12" fillId="0" borderId="12" xfId="0" applyFont="1" applyBorder="1" applyAlignment="1">
      <alignment horizontal="center"/>
    </xf>
    <xf numFmtId="0" fontId="15" fillId="0" borderId="0" xfId="0" applyFont="1"/>
    <xf numFmtId="0" fontId="13" fillId="0" borderId="0" xfId="0" applyFont="1" applyAlignment="1">
      <alignment horizontal="right"/>
    </xf>
    <xf numFmtId="0" fontId="12" fillId="0" borderId="13" xfId="0" applyFont="1" applyBorder="1" applyAlignment="1">
      <alignment horizontal="left"/>
    </xf>
    <xf numFmtId="0" fontId="22" fillId="0" borderId="0" xfId="0" applyFont="1"/>
    <xf numFmtId="0" fontId="13" fillId="0" borderId="7" xfId="0" applyFont="1" applyBorder="1"/>
    <xf numFmtId="0" fontId="12" fillId="0" borderId="5" xfId="0" applyFont="1" applyBorder="1"/>
    <xf numFmtId="0" fontId="13" fillId="0" borderId="5" xfId="0" applyFont="1" applyBorder="1"/>
    <xf numFmtId="166" fontId="13" fillId="0" borderId="12" xfId="0" applyNumberFormat="1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166" fontId="12" fillId="0" borderId="0" xfId="0" applyNumberFormat="1" applyFont="1"/>
    <xf numFmtId="166" fontId="12" fillId="0" borderId="12" xfId="0" applyNumberFormat="1" applyFont="1" applyBorder="1" applyAlignment="1">
      <alignment horizontal="center"/>
    </xf>
    <xf numFmtId="0" fontId="12" fillId="0" borderId="13" xfId="0" applyFont="1" applyBorder="1"/>
    <xf numFmtId="166" fontId="12" fillId="0" borderId="15" xfId="0" applyNumberFormat="1" applyFont="1" applyBorder="1"/>
    <xf numFmtId="166" fontId="13" fillId="0" borderId="15" xfId="0" applyNumberFormat="1" applyFont="1" applyBorder="1"/>
    <xf numFmtId="166" fontId="13" fillId="0" borderId="0" xfId="0" applyNumberFormat="1" applyFont="1"/>
    <xf numFmtId="166" fontId="21" fillId="0" borderId="0" xfId="0" applyNumberFormat="1" applyFont="1" applyAlignment="1">
      <alignment horizontal="center"/>
    </xf>
    <xf numFmtId="0" fontId="16" fillId="0" borderId="7" xfId="0" applyFont="1" applyBorder="1"/>
    <xf numFmtId="0" fontId="13" fillId="0" borderId="14" xfId="0" applyFont="1" applyBorder="1"/>
    <xf numFmtId="166" fontId="12" fillId="0" borderId="19" xfId="0" applyNumberFormat="1" applyFont="1" applyBorder="1" applyAlignment="1">
      <alignment horizontal="center"/>
    </xf>
    <xf numFmtId="0" fontId="12" fillId="0" borderId="7" xfId="0" applyFont="1" applyBorder="1"/>
    <xf numFmtId="166" fontId="12" fillId="0" borderId="18" xfId="0" applyNumberFormat="1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3" fontId="12" fillId="0" borderId="0" xfId="0" applyNumberFormat="1" applyFont="1" applyAlignment="1">
      <alignment horizontal="center"/>
    </xf>
    <xf numFmtId="3" fontId="12" fillId="2" borderId="0" xfId="0" applyNumberFormat="1" applyFont="1" applyFill="1" applyAlignment="1">
      <alignment horizontal="center"/>
    </xf>
    <xf numFmtId="4" fontId="1" fillId="0" borderId="6" xfId="0" applyNumberFormat="1" applyFont="1" applyBorder="1"/>
    <xf numFmtId="4" fontId="1" fillId="0" borderId="4" xfId="0" applyNumberFormat="1" applyFont="1" applyBorder="1"/>
    <xf numFmtId="0" fontId="4" fillId="2" borderId="12" xfId="0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165" fontId="11" fillId="0" borderId="12" xfId="0" applyNumberFormat="1" applyFont="1" applyBorder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11" fillId="0" borderId="39" xfId="0" applyFont="1" applyBorder="1" applyAlignment="1">
      <alignment vertical="center"/>
    </xf>
    <xf numFmtId="0" fontId="11" fillId="0" borderId="40" xfId="0" applyFont="1" applyBorder="1" applyAlignment="1">
      <alignment vertical="center"/>
    </xf>
    <xf numFmtId="4" fontId="2" fillId="0" borderId="8" xfId="0" applyNumberFormat="1" applyFont="1" applyBorder="1"/>
    <xf numFmtId="0" fontId="20" fillId="0" borderId="40" xfId="0" applyFont="1" applyBorder="1" applyAlignment="1">
      <alignment vertical="center"/>
    </xf>
    <xf numFmtId="4" fontId="20" fillId="0" borderId="12" xfId="0" applyNumberFormat="1" applyFont="1" applyBorder="1"/>
    <xf numFmtId="0" fontId="11" fillId="0" borderId="43" xfId="0" applyFont="1" applyBorder="1" applyAlignment="1">
      <alignment horizontal="right" vertical="center"/>
    </xf>
    <xf numFmtId="0" fontId="20" fillId="0" borderId="39" xfId="0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0" fontId="11" fillId="0" borderId="23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19" fillId="0" borderId="32" xfId="0" applyFont="1" applyBorder="1" applyAlignment="1">
      <alignment vertical="center"/>
    </xf>
    <xf numFmtId="165" fontId="11" fillId="0" borderId="23" xfId="0" applyNumberFormat="1" applyFont="1" applyBorder="1" applyAlignment="1">
      <alignment vertical="center"/>
    </xf>
    <xf numFmtId="165" fontId="11" fillId="0" borderId="27" xfId="0" applyNumberFormat="1" applyFont="1" applyBorder="1" applyAlignment="1">
      <alignment vertical="center"/>
    </xf>
    <xf numFmtId="4" fontId="13" fillId="0" borderId="6" xfId="0" applyNumberFormat="1" applyFont="1" applyBorder="1"/>
    <xf numFmtId="0" fontId="20" fillId="0" borderId="27" xfId="0" applyFont="1" applyBorder="1" applyAlignment="1">
      <alignment horizontal="right" vertical="center"/>
    </xf>
    <xf numFmtId="165" fontId="2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0" fillId="0" borderId="41" xfId="0" applyFont="1" applyBorder="1" applyAlignment="1">
      <alignment horizontal="right" vertical="center"/>
    </xf>
    <xf numFmtId="0" fontId="28" fillId="0" borderId="0" xfId="0" applyFont="1"/>
    <xf numFmtId="4" fontId="2" fillId="2" borderId="8" xfId="0" applyNumberFormat="1" applyFont="1" applyFill="1" applyBorder="1"/>
    <xf numFmtId="4" fontId="2" fillId="2" borderId="6" xfId="0" applyNumberFormat="1" applyFont="1" applyFill="1" applyBorder="1"/>
    <xf numFmtId="4" fontId="2" fillId="0" borderId="6" xfId="0" applyNumberFormat="1" applyFont="1" applyBorder="1"/>
    <xf numFmtId="0" fontId="2" fillId="2" borderId="0" xfId="0" applyFont="1" applyFill="1"/>
    <xf numFmtId="0" fontId="29" fillId="0" borderId="0" xfId="0" applyFont="1"/>
    <xf numFmtId="4" fontId="2" fillId="0" borderId="0" xfId="0" applyNumberFormat="1" applyFont="1"/>
    <xf numFmtId="165" fontId="11" fillId="0" borderId="0" xfId="0" applyNumberFormat="1" applyFont="1" applyAlignment="1">
      <alignment vertical="center"/>
    </xf>
    <xf numFmtId="165" fontId="0" fillId="0" borderId="0" xfId="0" applyNumberFormat="1"/>
    <xf numFmtId="4" fontId="2" fillId="0" borderId="1" xfId="0" applyNumberFormat="1" applyFont="1" applyBorder="1"/>
    <xf numFmtId="4" fontId="13" fillId="0" borderId="17" xfId="0" applyNumberFormat="1" applyFont="1" applyBorder="1"/>
    <xf numFmtId="0" fontId="30" fillId="0" borderId="0" xfId="0" applyFont="1"/>
    <xf numFmtId="0" fontId="16" fillId="0" borderId="5" xfId="0" applyFont="1" applyBorder="1"/>
    <xf numFmtId="0" fontId="4" fillId="2" borderId="44" xfId="0" applyFont="1" applyFill="1" applyBorder="1" applyAlignment="1">
      <alignment horizontal="center"/>
    </xf>
    <xf numFmtId="2" fontId="11" fillId="0" borderId="40" xfId="0" applyNumberFormat="1" applyFont="1" applyBorder="1" applyAlignment="1">
      <alignment vertical="center"/>
    </xf>
    <xf numFmtId="0" fontId="14" fillId="0" borderId="5" xfId="0" applyFont="1" applyBorder="1"/>
    <xf numFmtId="1" fontId="13" fillId="0" borderId="12" xfId="0" applyNumberFormat="1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" fontId="13" fillId="0" borderId="25" xfId="0" applyNumberFormat="1" applyFont="1" applyBorder="1" applyAlignment="1">
      <alignment horizontal="center"/>
    </xf>
    <xf numFmtId="1" fontId="21" fillId="0" borderId="45" xfId="0" applyNumberFormat="1" applyFont="1" applyBorder="1" applyAlignment="1">
      <alignment horizontal="center"/>
    </xf>
    <xf numFmtId="14" fontId="30" fillId="0" borderId="0" xfId="0" applyNumberFormat="1" applyFont="1"/>
    <xf numFmtId="4" fontId="13" fillId="0" borderId="2" xfId="0" applyNumberFormat="1" applyFont="1" applyBorder="1" applyAlignment="1">
      <alignment horizontal="center"/>
    </xf>
    <xf numFmtId="4" fontId="12" fillId="0" borderId="4" xfId="0" applyNumberFormat="1" applyFont="1" applyBorder="1"/>
    <xf numFmtId="4" fontId="12" fillId="0" borderId="6" xfId="0" applyNumberFormat="1" applyFont="1" applyBorder="1"/>
    <xf numFmtId="4" fontId="12" fillId="0" borderId="8" xfId="0" applyNumberFormat="1" applyFont="1" applyBorder="1"/>
    <xf numFmtId="4" fontId="13" fillId="0" borderId="10" xfId="0" applyNumberFormat="1" applyFont="1" applyBorder="1"/>
    <xf numFmtId="0" fontId="16" fillId="0" borderId="1" xfId="0" applyFont="1" applyBorder="1"/>
    <xf numFmtId="0" fontId="12" fillId="0" borderId="20" xfId="0" applyFont="1" applyBorder="1"/>
    <xf numFmtId="4" fontId="12" fillId="0" borderId="20" xfId="0" applyNumberFormat="1" applyFont="1" applyBorder="1"/>
    <xf numFmtId="4" fontId="13" fillId="0" borderId="0" xfId="0" applyNumberFormat="1" applyFont="1" applyAlignment="1">
      <alignment horizontal="center"/>
    </xf>
    <xf numFmtId="4" fontId="13" fillId="0" borderId="12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4" fontId="12" fillId="0" borderId="15" xfId="0" applyNumberFormat="1" applyFont="1" applyBorder="1"/>
    <xf numFmtId="4" fontId="12" fillId="0" borderId="19" xfId="0" applyNumberFormat="1" applyFont="1" applyBorder="1"/>
    <xf numFmtId="4" fontId="12" fillId="0" borderId="12" xfId="0" applyNumberFormat="1" applyFont="1" applyBorder="1"/>
    <xf numFmtId="4" fontId="12" fillId="0" borderId="0" xfId="0" applyNumberFormat="1" applyFont="1" applyAlignment="1">
      <alignment horizontal="center"/>
    </xf>
    <xf numFmtId="0" fontId="12" fillId="0" borderId="5" xfId="0" quotePrefix="1" applyFont="1" applyBorder="1" applyAlignment="1">
      <alignment horizontal="center"/>
    </xf>
    <xf numFmtId="0" fontId="0" fillId="0" borderId="12" xfId="0" applyBorder="1"/>
    <xf numFmtId="0" fontId="12" fillId="0" borderId="0" xfId="0" applyFont="1" applyAlignment="1">
      <alignment vertical="center"/>
    </xf>
    <xf numFmtId="4" fontId="13" fillId="0" borderId="2" xfId="0" applyNumberFormat="1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4" fontId="13" fillId="0" borderId="3" xfId="0" applyNumberFormat="1" applyFont="1" applyBorder="1" applyAlignment="1">
      <alignment horizontal="right"/>
    </xf>
    <xf numFmtId="0" fontId="13" fillId="0" borderId="5" xfId="0" applyFont="1" applyBorder="1" applyAlignment="1">
      <alignment horizontal="left"/>
    </xf>
    <xf numFmtId="4" fontId="13" fillId="0" borderId="12" xfId="0" applyNumberFormat="1" applyFont="1" applyBorder="1"/>
    <xf numFmtId="0" fontId="18" fillId="0" borderId="0" xfId="0" applyFont="1" applyAlignment="1">
      <alignment horizontal="right"/>
    </xf>
    <xf numFmtId="0" fontId="18" fillId="0" borderId="0" xfId="0" applyFont="1"/>
    <xf numFmtId="4" fontId="13" fillId="0" borderId="12" xfId="0" applyNumberFormat="1" applyFont="1" applyBorder="1" applyAlignment="1">
      <alignment horizontal="right"/>
    </xf>
    <xf numFmtId="0" fontId="12" fillId="0" borderId="12" xfId="0" applyFont="1" applyBorder="1"/>
    <xf numFmtId="0" fontId="12" fillId="0" borderId="19" xfId="0" applyFont="1" applyBorder="1"/>
    <xf numFmtId="0" fontId="16" fillId="0" borderId="5" xfId="0" applyFont="1" applyBorder="1" applyAlignment="1">
      <alignment horizontal="left"/>
    </xf>
    <xf numFmtId="4" fontId="12" fillId="0" borderId="18" xfId="0" applyNumberFormat="1" applyFont="1" applyBorder="1"/>
    <xf numFmtId="4" fontId="13" fillId="0" borderId="18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4" fontId="13" fillId="0" borderId="1" xfId="0" applyNumberFormat="1" applyFont="1" applyBorder="1" applyAlignment="1">
      <alignment horizontal="center"/>
    </xf>
    <xf numFmtId="4" fontId="13" fillId="0" borderId="2" xfId="0" applyNumberFormat="1" applyFont="1" applyBorder="1" applyAlignment="1">
      <alignment horizontal="center"/>
    </xf>
    <xf numFmtId="0" fontId="17" fillId="0" borderId="0" xfId="0" applyFont="1" applyAlignment="1">
      <alignment horizontal="left"/>
    </xf>
    <xf numFmtId="4" fontId="12" fillId="0" borderId="0" xfId="0" applyNumberFormat="1" applyFont="1" applyAlignment="1">
      <alignment horizontal="center"/>
    </xf>
    <xf numFmtId="4" fontId="12" fillId="0" borderId="12" xfId="0" applyNumberFormat="1" applyFont="1" applyBorder="1" applyAlignment="1">
      <alignment horizontal="center"/>
    </xf>
    <xf numFmtId="0" fontId="12" fillId="0" borderId="12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FF11C-C26D-4874-923B-D66381EF0A34}">
  <sheetPr>
    <pageSetUpPr fitToPage="1"/>
  </sheetPr>
  <dimension ref="A1:V61"/>
  <sheetViews>
    <sheetView topLeftCell="B11" zoomScaleNormal="100" workbookViewId="0">
      <selection activeCell="U2" sqref="U2"/>
    </sheetView>
  </sheetViews>
  <sheetFormatPr defaultRowHeight="15" x14ac:dyDescent="0.25"/>
  <cols>
    <col min="1" max="1" width="39.7109375" customWidth="1"/>
    <col min="2" max="2" width="10" bestFit="1" customWidth="1"/>
    <col min="3" max="3" width="11.5703125" style="1" bestFit="1" customWidth="1"/>
    <col min="5" max="5" width="10.140625" customWidth="1"/>
    <col min="7" max="7" width="10.85546875" customWidth="1"/>
    <col min="9" max="9" width="10.28515625" customWidth="1"/>
    <col min="10" max="10" width="9.7109375" bestFit="1" customWidth="1"/>
    <col min="11" max="11" width="10.140625" customWidth="1"/>
    <col min="12" max="12" width="10" customWidth="1"/>
    <col min="13" max="13" width="12.5703125" customWidth="1"/>
    <col min="14" max="14" width="2.85546875" customWidth="1"/>
    <col min="15" max="15" width="12.5703125" customWidth="1"/>
    <col min="16" max="16" width="4.7109375" customWidth="1"/>
    <col min="17" max="17" width="13.5703125" bestFit="1" customWidth="1"/>
    <col min="18" max="18" width="4.140625" customWidth="1"/>
    <col min="19" max="19" width="11.42578125" customWidth="1"/>
    <col min="20" max="20" width="5.28515625" customWidth="1"/>
    <col min="21" max="21" width="14.85546875" customWidth="1"/>
    <col min="22" max="22" width="4.5703125" customWidth="1"/>
  </cols>
  <sheetData>
    <row r="1" spans="1:22" ht="21" x14ac:dyDescent="0.35">
      <c r="A1" s="134" t="s">
        <v>254</v>
      </c>
      <c r="L1" s="217" t="s">
        <v>255</v>
      </c>
      <c r="O1" s="217" t="s">
        <v>158</v>
      </c>
      <c r="P1" s="217"/>
      <c r="Q1" s="226">
        <v>46143</v>
      </c>
      <c r="R1" s="217"/>
      <c r="S1" s="217"/>
      <c r="T1" s="3"/>
      <c r="U1" s="4"/>
      <c r="V1" s="110"/>
    </row>
    <row r="2" spans="1:22" ht="21" x14ac:dyDescent="0.35">
      <c r="A2" s="134" t="s">
        <v>253</v>
      </c>
      <c r="L2" s="137"/>
      <c r="M2" s="1"/>
      <c r="P2" s="2"/>
      <c r="U2" s="3"/>
    </row>
    <row r="3" spans="1:22" ht="21" x14ac:dyDescent="0.35">
      <c r="A3" s="134"/>
      <c r="L3" s="137"/>
      <c r="M3" s="1"/>
      <c r="P3" s="2"/>
      <c r="U3" s="3"/>
    </row>
    <row r="4" spans="1:22" ht="15.75" x14ac:dyDescent="0.25">
      <c r="A4" s="5" t="s">
        <v>0</v>
      </c>
      <c r="B4" s="262" t="s">
        <v>1</v>
      </c>
      <c r="C4" s="263"/>
      <c r="D4" s="260" t="s">
        <v>2</v>
      </c>
      <c r="E4" s="261"/>
      <c r="F4" s="260" t="s">
        <v>3</v>
      </c>
      <c r="G4" s="261"/>
      <c r="H4" s="260" t="s">
        <v>4</v>
      </c>
      <c r="I4" s="261"/>
      <c r="J4" s="260" t="s">
        <v>5</v>
      </c>
      <c r="K4" s="261"/>
      <c r="L4" s="260" t="s">
        <v>6</v>
      </c>
      <c r="M4" s="261"/>
      <c r="O4" s="6" t="s">
        <v>7</v>
      </c>
      <c r="P4" s="6" t="s">
        <v>8</v>
      </c>
      <c r="Q4" s="7" t="s">
        <v>6</v>
      </c>
      <c r="S4" s="6" t="s">
        <v>7</v>
      </c>
      <c r="T4" s="6" t="s">
        <v>8</v>
      </c>
      <c r="U4" s="7" t="s">
        <v>6</v>
      </c>
      <c r="V4" s="121"/>
    </row>
    <row r="5" spans="1:22" ht="15.75" x14ac:dyDescent="0.25">
      <c r="A5" s="2" t="s">
        <v>9</v>
      </c>
      <c r="B5" s="9">
        <v>45657</v>
      </c>
      <c r="C5" s="84">
        <v>46022</v>
      </c>
      <c r="D5" s="8">
        <v>45657</v>
      </c>
      <c r="E5" s="84">
        <v>46022</v>
      </c>
      <c r="F5" s="8">
        <v>45657</v>
      </c>
      <c r="G5" s="84">
        <v>46022</v>
      </c>
      <c r="H5" s="8">
        <v>45657</v>
      </c>
      <c r="I5" s="84">
        <v>46022</v>
      </c>
      <c r="J5" s="8">
        <v>45657</v>
      </c>
      <c r="K5" s="84">
        <v>46022</v>
      </c>
      <c r="L5" s="9">
        <v>45657</v>
      </c>
      <c r="M5" s="84">
        <v>46022</v>
      </c>
      <c r="N5" s="10"/>
      <c r="O5" s="9">
        <v>45657</v>
      </c>
      <c r="P5" s="9"/>
      <c r="Q5" s="119">
        <v>45657</v>
      </c>
      <c r="S5" s="9">
        <v>46022</v>
      </c>
      <c r="T5" s="9"/>
      <c r="U5" s="119">
        <v>46022</v>
      </c>
      <c r="V5" s="121"/>
    </row>
    <row r="6" spans="1:22" ht="15.75" x14ac:dyDescent="0.25">
      <c r="A6" s="11" t="s">
        <v>10</v>
      </c>
      <c r="B6" s="16">
        <v>1589</v>
      </c>
      <c r="C6" s="16">
        <v>566</v>
      </c>
      <c r="D6" s="12"/>
      <c r="E6" s="8"/>
      <c r="F6" s="8"/>
      <c r="G6" s="8"/>
      <c r="H6" s="8"/>
      <c r="I6" s="12"/>
      <c r="J6" s="12"/>
      <c r="L6" s="13">
        <f>B6+D6+F6+H6+J6</f>
        <v>1589</v>
      </c>
      <c r="M6" s="14">
        <f>C6+E6+G6+I6+K6</f>
        <v>566</v>
      </c>
      <c r="N6" s="10"/>
      <c r="O6" s="15"/>
      <c r="P6" s="8"/>
      <c r="Q6" s="15">
        <f t="shared" ref="Q6:Q15" si="0">+L6-O6</f>
        <v>1589</v>
      </c>
      <c r="S6" s="15"/>
      <c r="T6" s="8"/>
      <c r="U6" s="15">
        <f t="shared" ref="U6:U15" si="1">+M6-S6</f>
        <v>566</v>
      </c>
      <c r="V6" s="121"/>
    </row>
    <row r="7" spans="1:22" ht="15.75" x14ac:dyDescent="0.25">
      <c r="A7" t="s">
        <v>11</v>
      </c>
      <c r="B7" s="16">
        <v>191046.13</v>
      </c>
      <c r="C7" s="16">
        <v>134075.75</v>
      </c>
      <c r="D7" s="16"/>
      <c r="E7" s="16"/>
      <c r="F7" s="16"/>
      <c r="G7" s="16"/>
      <c r="H7" s="16"/>
      <c r="I7" s="16"/>
      <c r="J7" s="16"/>
      <c r="L7" s="13">
        <f t="shared" ref="L7:L15" si="2">B7+D7+F7+H7+J7</f>
        <v>191046.13</v>
      </c>
      <c r="M7" s="16">
        <f t="shared" ref="M7:M15" si="3">C7+E7+G7+I7+K7</f>
        <v>134075.75</v>
      </c>
      <c r="N7" s="1"/>
      <c r="O7" s="16"/>
      <c r="P7" s="18"/>
      <c r="Q7" s="15">
        <f t="shared" si="0"/>
        <v>191046.13</v>
      </c>
      <c r="R7" s="1"/>
      <c r="S7" s="16"/>
      <c r="T7" s="18"/>
      <c r="U7" s="15">
        <f t="shared" si="1"/>
        <v>134075.75</v>
      </c>
      <c r="V7" s="121"/>
    </row>
    <row r="8" spans="1:22" ht="15.75" x14ac:dyDescent="0.25">
      <c r="A8" t="s">
        <v>12</v>
      </c>
      <c r="B8" s="16">
        <v>13195.13</v>
      </c>
      <c r="C8" s="16">
        <v>34326.46</v>
      </c>
      <c r="D8" s="16"/>
      <c r="E8" s="16"/>
      <c r="F8" s="16"/>
      <c r="G8" s="16"/>
      <c r="H8" s="16"/>
      <c r="I8" s="16"/>
      <c r="J8" s="16"/>
      <c r="L8" s="13">
        <f t="shared" si="2"/>
        <v>13195.13</v>
      </c>
      <c r="M8" s="16">
        <f t="shared" si="3"/>
        <v>34326.46</v>
      </c>
      <c r="N8" s="1"/>
      <c r="O8" s="16"/>
      <c r="P8" s="19"/>
      <c r="Q8" s="15">
        <f t="shared" si="0"/>
        <v>13195.13</v>
      </c>
      <c r="R8" s="1"/>
      <c r="S8" s="16"/>
      <c r="T8" s="19"/>
      <c r="U8" s="15">
        <f t="shared" si="1"/>
        <v>34326.46</v>
      </c>
      <c r="V8" s="121"/>
    </row>
    <row r="9" spans="1:22" ht="15.75" x14ac:dyDescent="0.25">
      <c r="A9" t="s">
        <v>13</v>
      </c>
      <c r="B9" s="16"/>
      <c r="C9" s="16"/>
      <c r="D9" s="16">
        <v>3647.71</v>
      </c>
      <c r="E9" s="16">
        <v>375.14</v>
      </c>
      <c r="F9" s="16"/>
      <c r="G9" s="16"/>
      <c r="H9" s="16"/>
      <c r="I9" s="16"/>
      <c r="J9" s="16"/>
      <c r="L9" s="13">
        <f t="shared" si="2"/>
        <v>3647.71</v>
      </c>
      <c r="M9" s="16">
        <f t="shared" si="3"/>
        <v>375.14</v>
      </c>
      <c r="N9" s="1"/>
      <c r="O9" s="16"/>
      <c r="P9" s="19"/>
      <c r="Q9" s="15">
        <f t="shared" si="0"/>
        <v>3647.71</v>
      </c>
      <c r="R9" s="1"/>
      <c r="S9" s="16"/>
      <c r="T9" s="19"/>
      <c r="U9" s="15">
        <f t="shared" si="1"/>
        <v>375.14</v>
      </c>
      <c r="V9" s="121"/>
    </row>
    <row r="10" spans="1:22" ht="15.75" x14ac:dyDescent="0.25">
      <c r="A10" t="s">
        <v>14</v>
      </c>
      <c r="B10" s="16"/>
      <c r="C10" s="16"/>
      <c r="D10" s="16"/>
      <c r="E10" s="16"/>
      <c r="F10" s="16"/>
      <c r="G10" s="16"/>
      <c r="H10" s="16"/>
      <c r="I10" s="16"/>
      <c r="J10" s="16">
        <v>3076.58</v>
      </c>
      <c r="K10">
        <v>3016.89</v>
      </c>
      <c r="L10" s="13">
        <f t="shared" si="2"/>
        <v>3076.58</v>
      </c>
      <c r="M10" s="16">
        <f t="shared" si="3"/>
        <v>3016.89</v>
      </c>
      <c r="N10" s="1"/>
      <c r="O10" s="16"/>
      <c r="P10" s="19"/>
      <c r="Q10" s="15">
        <f t="shared" si="0"/>
        <v>3076.58</v>
      </c>
      <c r="R10" s="1"/>
      <c r="S10" s="16"/>
      <c r="T10" s="19"/>
      <c r="U10" s="15">
        <f t="shared" si="1"/>
        <v>3016.89</v>
      </c>
      <c r="V10" s="121"/>
    </row>
    <row r="11" spans="1:22" ht="15.75" x14ac:dyDescent="0.25">
      <c r="A11" t="s">
        <v>15</v>
      </c>
      <c r="B11" s="16"/>
      <c r="C11" s="16"/>
      <c r="D11" s="16"/>
      <c r="E11" s="16"/>
      <c r="F11" s="16">
        <v>4871.71</v>
      </c>
      <c r="G11" s="16">
        <v>5016.3100000000004</v>
      </c>
      <c r="H11" s="16"/>
      <c r="I11" s="16"/>
      <c r="J11" s="16"/>
      <c r="L11" s="13">
        <f t="shared" si="2"/>
        <v>4871.71</v>
      </c>
      <c r="M11" s="16">
        <f t="shared" si="3"/>
        <v>5016.3100000000004</v>
      </c>
      <c r="N11" s="1"/>
      <c r="O11" s="16"/>
      <c r="P11" s="19"/>
      <c r="Q11" s="15">
        <f t="shared" si="0"/>
        <v>4871.71</v>
      </c>
      <c r="R11" s="1"/>
      <c r="S11" s="16"/>
      <c r="T11" s="19"/>
      <c r="U11" s="15">
        <f t="shared" si="1"/>
        <v>5016.3100000000004</v>
      </c>
      <c r="V11" s="121"/>
    </row>
    <row r="12" spans="1:22" ht="15.75" x14ac:dyDescent="0.25">
      <c r="A12" t="s">
        <v>16</v>
      </c>
      <c r="B12" s="16"/>
      <c r="C12" s="16"/>
      <c r="D12" s="16"/>
      <c r="E12" s="16"/>
      <c r="F12" s="16"/>
      <c r="G12" s="16"/>
      <c r="H12" s="16">
        <v>993.87</v>
      </c>
      <c r="I12" s="16">
        <v>182.27</v>
      </c>
      <c r="J12" s="16"/>
      <c r="L12" s="13">
        <f t="shared" si="2"/>
        <v>993.87</v>
      </c>
      <c r="M12" s="16">
        <f t="shared" si="3"/>
        <v>182.27</v>
      </c>
      <c r="N12" s="1"/>
      <c r="O12" s="16"/>
      <c r="P12" s="19"/>
      <c r="Q12" s="15">
        <f t="shared" si="0"/>
        <v>993.87</v>
      </c>
      <c r="R12" s="1"/>
      <c r="S12" s="16"/>
      <c r="T12" s="19"/>
      <c r="U12" s="15">
        <f t="shared" si="1"/>
        <v>182.27</v>
      </c>
      <c r="V12" s="121"/>
    </row>
    <row r="13" spans="1:22" ht="15.75" x14ac:dyDescent="0.25">
      <c r="A13" t="s">
        <v>17</v>
      </c>
      <c r="B13" s="16"/>
      <c r="C13" s="16"/>
      <c r="D13" s="16">
        <v>100.5</v>
      </c>
      <c r="E13" s="16">
        <v>150</v>
      </c>
      <c r="F13" s="16">
        <v>1045.56</v>
      </c>
      <c r="G13" s="16">
        <v>286.8</v>
      </c>
      <c r="H13" s="16"/>
      <c r="I13" s="16"/>
      <c r="J13" s="16">
        <v>112.8</v>
      </c>
      <c r="K13">
        <v>98.85</v>
      </c>
      <c r="L13" s="13">
        <f t="shared" si="2"/>
        <v>1258.8599999999999</v>
      </c>
      <c r="M13" s="177">
        <f t="shared" si="3"/>
        <v>535.65</v>
      </c>
      <c r="N13" s="1"/>
      <c r="O13" s="16">
        <v>1258.8599999999999</v>
      </c>
      <c r="P13" s="20"/>
      <c r="Q13" s="15">
        <f t="shared" si="0"/>
        <v>0</v>
      </c>
      <c r="R13" s="1"/>
      <c r="S13" s="16">
        <v>535.65</v>
      </c>
      <c r="T13" s="20">
        <v>1</v>
      </c>
      <c r="U13" s="15">
        <f t="shared" si="1"/>
        <v>0</v>
      </c>
      <c r="V13" s="121"/>
    </row>
    <row r="14" spans="1:22" ht="15.75" x14ac:dyDescent="0.25">
      <c r="A14" t="s">
        <v>18</v>
      </c>
      <c r="B14" s="16"/>
      <c r="C14" s="16"/>
      <c r="D14" s="16">
        <v>350</v>
      </c>
      <c r="E14" s="16">
        <v>657.5</v>
      </c>
      <c r="F14" s="16"/>
      <c r="G14" s="16"/>
      <c r="H14" s="16"/>
      <c r="I14" s="16"/>
      <c r="J14" s="16"/>
      <c r="L14" s="13">
        <f t="shared" si="2"/>
        <v>350</v>
      </c>
      <c r="M14" s="16">
        <f t="shared" si="3"/>
        <v>657.5</v>
      </c>
      <c r="N14" s="1"/>
      <c r="O14" s="16"/>
      <c r="P14" s="19"/>
      <c r="Q14" s="15">
        <f t="shared" si="0"/>
        <v>350</v>
      </c>
      <c r="R14" s="1"/>
      <c r="S14" s="16"/>
      <c r="T14" s="19"/>
      <c r="U14" s="15">
        <f t="shared" si="1"/>
        <v>657.5</v>
      </c>
      <c r="V14" s="121"/>
    </row>
    <row r="15" spans="1:22" ht="15.75" x14ac:dyDescent="0.25">
      <c r="A15" t="s">
        <v>19</v>
      </c>
      <c r="B15" s="21"/>
      <c r="C15" s="16"/>
      <c r="D15" s="16"/>
      <c r="E15" s="16"/>
      <c r="F15" s="16"/>
      <c r="G15" s="16"/>
      <c r="H15" s="16">
        <v>259.63</v>
      </c>
      <c r="I15" s="16"/>
      <c r="J15" s="16"/>
      <c r="L15" s="13">
        <f t="shared" si="2"/>
        <v>259.63</v>
      </c>
      <c r="M15" s="21">
        <f t="shared" si="3"/>
        <v>0</v>
      </c>
      <c r="N15" s="1"/>
      <c r="O15" s="16"/>
      <c r="P15" s="19"/>
      <c r="Q15" s="15">
        <f t="shared" si="0"/>
        <v>259.63</v>
      </c>
      <c r="R15" s="1"/>
      <c r="S15" s="16"/>
      <c r="T15" s="19"/>
      <c r="U15" s="15">
        <f t="shared" si="1"/>
        <v>0</v>
      </c>
      <c r="V15" s="121"/>
    </row>
    <row r="16" spans="1:22" ht="16.5" thickBot="1" x14ac:dyDescent="0.3">
      <c r="B16" s="22">
        <f>SUM(B6:B15)</f>
        <v>205830.26</v>
      </c>
      <c r="C16" s="23">
        <f>SUM(C6:C15)</f>
        <v>168968.21</v>
      </c>
      <c r="D16" s="23">
        <f t="shared" ref="D16:K16" si="4">SUM(D6:D15)</f>
        <v>4098.21</v>
      </c>
      <c r="E16" s="23">
        <f t="shared" si="4"/>
        <v>1182.6399999999999</v>
      </c>
      <c r="F16" s="23">
        <f t="shared" si="4"/>
        <v>5917.27</v>
      </c>
      <c r="G16" s="23">
        <f t="shared" si="4"/>
        <v>5303.1100000000006</v>
      </c>
      <c r="H16" s="23">
        <f t="shared" si="4"/>
        <v>1253.5</v>
      </c>
      <c r="I16" s="23">
        <f t="shared" si="4"/>
        <v>182.27</v>
      </c>
      <c r="J16" s="23">
        <f t="shared" si="4"/>
        <v>3189.38</v>
      </c>
      <c r="K16" s="23">
        <f t="shared" si="4"/>
        <v>3115.74</v>
      </c>
      <c r="L16" s="24">
        <f t="shared" ref="L16:M16" si="5">SUM(L6:L15)</f>
        <v>220288.61999999997</v>
      </c>
      <c r="M16" s="23">
        <f t="shared" si="5"/>
        <v>178751.97</v>
      </c>
      <c r="N16" s="1"/>
      <c r="O16" s="23">
        <f>SUM(O6:O15)</f>
        <v>1258.8599999999999</v>
      </c>
      <c r="P16" s="25"/>
      <c r="Q16" s="23">
        <f>SUM(Q6:Q15)</f>
        <v>219029.75999999998</v>
      </c>
      <c r="R16" s="1"/>
      <c r="S16" s="23">
        <f>SUM(S6:S15)</f>
        <v>535.65</v>
      </c>
      <c r="T16" s="19"/>
      <c r="U16" s="23">
        <f>SUM(U6:U15)</f>
        <v>178216.32000000001</v>
      </c>
      <c r="V16" s="121"/>
    </row>
    <row r="17" spans="1:22" ht="16.5" thickTop="1" x14ac:dyDescent="0.25">
      <c r="B17" s="1"/>
      <c r="F17" s="26"/>
      <c r="G17" s="26"/>
      <c r="H17" s="26"/>
      <c r="I17" s="26"/>
      <c r="M17" s="1"/>
      <c r="O17" s="21"/>
      <c r="P17" s="25"/>
      <c r="Q17" s="27"/>
      <c r="S17" s="28"/>
      <c r="T17" s="29"/>
      <c r="U17" s="27"/>
      <c r="V17" s="121"/>
    </row>
    <row r="18" spans="1:22" ht="15.75" x14ac:dyDescent="0.25">
      <c r="A18" s="2" t="s">
        <v>20</v>
      </c>
      <c r="B18" s="9">
        <v>45657</v>
      </c>
      <c r="C18" s="84">
        <v>46022</v>
      </c>
      <c r="D18" s="8">
        <v>45657</v>
      </c>
      <c r="E18" s="84">
        <v>46022</v>
      </c>
      <c r="F18" s="8">
        <v>45657</v>
      </c>
      <c r="G18" s="84">
        <v>46022</v>
      </c>
      <c r="H18" s="8">
        <v>45657</v>
      </c>
      <c r="I18" s="84">
        <v>46022</v>
      </c>
      <c r="J18" s="8">
        <v>45657</v>
      </c>
      <c r="K18" s="84">
        <v>46022</v>
      </c>
      <c r="L18" s="9">
        <v>45657</v>
      </c>
      <c r="M18" s="112">
        <v>46022</v>
      </c>
      <c r="N18" s="10"/>
      <c r="O18" s="9">
        <v>45657</v>
      </c>
      <c r="P18" s="19"/>
      <c r="Q18" s="9">
        <v>45657</v>
      </c>
      <c r="S18" s="9">
        <v>46022</v>
      </c>
      <c r="T18" s="19"/>
      <c r="U18" s="9">
        <v>46022</v>
      </c>
      <c r="V18" s="121"/>
    </row>
    <row r="19" spans="1:22" ht="15.75" x14ac:dyDescent="0.25">
      <c r="A19" s="30" t="s">
        <v>17</v>
      </c>
      <c r="B19" s="14">
        <v>295.26</v>
      </c>
      <c r="C19" s="14">
        <v>211.65</v>
      </c>
      <c r="D19" s="14"/>
      <c r="E19" s="14"/>
      <c r="F19" s="14"/>
      <c r="G19" s="14"/>
      <c r="H19" s="14">
        <v>963.6</v>
      </c>
      <c r="I19" s="14">
        <v>324</v>
      </c>
      <c r="J19" s="31"/>
      <c r="K19" s="31"/>
      <c r="L19" s="31">
        <f>SUM(B19+D19+F19+H19+J19)</f>
        <v>1258.8600000000001</v>
      </c>
      <c r="M19" s="178">
        <f>+C19+E19+G19+I19+K19</f>
        <v>535.65</v>
      </c>
      <c r="N19" s="1"/>
      <c r="O19" s="16">
        <v>1258.8599999999999</v>
      </c>
      <c r="P19" s="25"/>
      <c r="Q19" s="16">
        <f>+L19-O19</f>
        <v>0</v>
      </c>
      <c r="R19" s="1"/>
      <c r="S19" s="16">
        <v>535.65</v>
      </c>
      <c r="T19" s="20">
        <v>1</v>
      </c>
      <c r="U19" s="15">
        <f t="shared" ref="U19:U22" si="6">+M19-S19</f>
        <v>0</v>
      </c>
      <c r="V19" s="121"/>
    </row>
    <row r="20" spans="1:22" ht="15.75" x14ac:dyDescent="0.25">
      <c r="A20" s="30" t="s">
        <v>21</v>
      </c>
      <c r="B20" s="16">
        <v>30000</v>
      </c>
      <c r="C20" s="16"/>
      <c r="D20" s="16"/>
      <c r="E20" s="16"/>
      <c r="F20" s="16"/>
      <c r="G20" s="16"/>
      <c r="H20" s="16">
        <v>215</v>
      </c>
      <c r="I20" s="16"/>
      <c r="J20" s="16"/>
      <c r="K20" s="16"/>
      <c r="L20" s="13">
        <f t="shared" ref="L20" si="7">+B20+D20+F20+H20+J20</f>
        <v>30215</v>
      </c>
      <c r="M20" s="16">
        <f>+C20+E20+G20+I20+K20</f>
        <v>0</v>
      </c>
      <c r="N20" s="1"/>
      <c r="O20" s="16"/>
      <c r="P20" s="25"/>
      <c r="Q20" s="16">
        <f t="shared" ref="Q20:Q22" si="8">+L20-O20</f>
        <v>30215</v>
      </c>
      <c r="R20" s="1"/>
      <c r="S20" s="16"/>
      <c r="T20" s="20"/>
      <c r="U20" s="15">
        <f t="shared" si="6"/>
        <v>0</v>
      </c>
      <c r="V20" s="121"/>
    </row>
    <row r="21" spans="1:22" x14ac:dyDescent="0.25">
      <c r="A21" s="30" t="s">
        <v>22</v>
      </c>
      <c r="B21" s="16">
        <v>1372.9</v>
      </c>
      <c r="C21" s="16">
        <v>1007.2</v>
      </c>
      <c r="D21" s="32">
        <v>1735.12</v>
      </c>
      <c r="E21" s="32">
        <v>58.33</v>
      </c>
      <c r="F21" s="16">
        <v>1274.18</v>
      </c>
      <c r="G21" s="16">
        <v>17.87</v>
      </c>
      <c r="H21" s="16">
        <v>17.02</v>
      </c>
      <c r="I21" s="16">
        <v>20.46</v>
      </c>
      <c r="J21" s="16">
        <v>64.59</v>
      </c>
      <c r="K21" s="16">
        <v>3088.82</v>
      </c>
      <c r="L21" s="13">
        <f>SUM(B21+D21+F21+H21+J21)</f>
        <v>4463.8100000000004</v>
      </c>
      <c r="M21" s="16">
        <f>+C21+E21+G21+I21+K21</f>
        <v>4192.68</v>
      </c>
      <c r="N21" s="1"/>
      <c r="O21" s="16"/>
      <c r="P21" s="19"/>
      <c r="Q21" s="16">
        <f t="shared" si="8"/>
        <v>4463.8100000000004</v>
      </c>
      <c r="R21" s="1"/>
      <c r="S21" s="16"/>
      <c r="T21" s="19"/>
      <c r="U21" s="15">
        <f t="shared" si="6"/>
        <v>4192.68</v>
      </c>
    </row>
    <row r="22" spans="1:22" x14ac:dyDescent="0.25">
      <c r="A22" s="30" t="s">
        <v>23</v>
      </c>
      <c r="B22" s="16">
        <f>181641.32-7479.22</f>
        <v>174162.1</v>
      </c>
      <c r="C22" s="16">
        <f>174162.1-6412.74</f>
        <v>167749.36000000002</v>
      </c>
      <c r="D22" s="1">
        <f>612.48+1750.61</f>
        <v>2363.09</v>
      </c>
      <c r="E22" s="1">
        <f>2363.09-1238.78</f>
        <v>1124.3100000000002</v>
      </c>
      <c r="F22" s="21">
        <f>3928.69+714.4</f>
        <v>4643.09</v>
      </c>
      <c r="G22" s="21">
        <f>4643.09+642.15</f>
        <v>5285.24</v>
      </c>
      <c r="H22" s="16">
        <f>385.34-327.46</f>
        <v>57.879999999999995</v>
      </c>
      <c r="I22" s="16">
        <f>57.88-220.07</f>
        <v>-162.19</v>
      </c>
      <c r="J22" s="16">
        <f>1256.72+1868.07</f>
        <v>3124.79</v>
      </c>
      <c r="K22" s="16">
        <f>3124.79-3097.87</f>
        <v>26.920000000000073</v>
      </c>
      <c r="L22" s="13">
        <f>SUM(B22+D22+F22+H22+J22)</f>
        <v>184350.95</v>
      </c>
      <c r="M22" s="21">
        <f>+C22+E22+G22+I22+K22</f>
        <v>174023.64</v>
      </c>
      <c r="N22" s="1"/>
      <c r="O22" s="16"/>
      <c r="P22" s="19"/>
      <c r="Q22" s="16">
        <f t="shared" si="8"/>
        <v>184350.95</v>
      </c>
      <c r="R22" s="1"/>
      <c r="S22" s="16"/>
      <c r="T22" s="19"/>
      <c r="U22" s="15">
        <f t="shared" si="6"/>
        <v>174023.64</v>
      </c>
      <c r="V22" s="137"/>
    </row>
    <row r="23" spans="1:22" ht="16.5" thickBot="1" x14ac:dyDescent="0.3">
      <c r="B23" s="23">
        <f t="shared" ref="B23:M23" si="9">SUM(B19:B22)</f>
        <v>205830.26</v>
      </c>
      <c r="C23" s="23">
        <f t="shared" si="9"/>
        <v>168968.21000000002</v>
      </c>
      <c r="D23" s="24">
        <f>SUM(D19:D22)</f>
        <v>4098.21</v>
      </c>
      <c r="E23" s="24">
        <f t="shared" si="9"/>
        <v>1182.6400000000001</v>
      </c>
      <c r="F23" s="23">
        <f t="shared" si="9"/>
        <v>5917.27</v>
      </c>
      <c r="G23" s="23">
        <f t="shared" si="9"/>
        <v>5303.11</v>
      </c>
      <c r="H23" s="23">
        <f t="shared" si="9"/>
        <v>1253.5</v>
      </c>
      <c r="I23" s="23">
        <f t="shared" si="9"/>
        <v>182.26999999999998</v>
      </c>
      <c r="J23" s="23">
        <f t="shared" si="9"/>
        <v>3189.38</v>
      </c>
      <c r="K23" s="23">
        <f t="shared" si="9"/>
        <v>3115.7400000000002</v>
      </c>
      <c r="L23" s="23">
        <f t="shared" si="9"/>
        <v>220288.62</v>
      </c>
      <c r="M23" s="22">
        <f t="shared" si="9"/>
        <v>178751.97</v>
      </c>
      <c r="N23" s="1"/>
      <c r="O23" s="23">
        <f>SUM(O19:O22)</f>
        <v>1258.8599999999999</v>
      </c>
      <c r="P23" s="19"/>
      <c r="Q23" s="23">
        <f>SUM(Q19:Q22)</f>
        <v>219029.76000000001</v>
      </c>
      <c r="R23" s="1"/>
      <c r="S23" s="23">
        <f>SUM(S19:S22)</f>
        <v>535.65</v>
      </c>
      <c r="T23" s="19"/>
      <c r="U23" s="23">
        <f>SUM(U19:U22)</f>
        <v>178216.32000000001</v>
      </c>
      <c r="V23" s="121"/>
    </row>
    <row r="24" spans="1:22" ht="16.5" thickTop="1" x14ac:dyDescent="0.25">
      <c r="B24" s="1"/>
      <c r="F24" s="26"/>
      <c r="G24" s="26"/>
      <c r="H24" s="26"/>
      <c r="I24" s="26"/>
      <c r="L24" s="1"/>
      <c r="N24" s="27"/>
      <c r="O24" s="28"/>
      <c r="P24" s="29"/>
      <c r="Q24" s="27"/>
      <c r="S24" s="16">
        <f>+S16-S23</f>
        <v>0</v>
      </c>
      <c r="T24" s="29"/>
      <c r="U24" s="16">
        <f>+U16-U23</f>
        <v>0</v>
      </c>
      <c r="V24" s="121"/>
    </row>
    <row r="25" spans="1:22" ht="15.75" x14ac:dyDescent="0.25">
      <c r="A25" s="5" t="s">
        <v>24</v>
      </c>
      <c r="B25" s="1"/>
      <c r="F25" s="26"/>
      <c r="G25" s="26"/>
      <c r="H25" s="26"/>
      <c r="I25" s="26"/>
      <c r="M25" s="32"/>
      <c r="O25" s="16"/>
      <c r="P25" s="29"/>
      <c r="Q25" s="27"/>
      <c r="S25" s="28"/>
      <c r="T25" s="29"/>
      <c r="U25" s="27"/>
      <c r="V25" s="121"/>
    </row>
    <row r="26" spans="1:22" ht="15.75" x14ac:dyDescent="0.25">
      <c r="A26" s="2" t="s">
        <v>25</v>
      </c>
      <c r="B26" s="83">
        <v>2024</v>
      </c>
      <c r="C26" s="83">
        <v>2025</v>
      </c>
      <c r="D26" s="83">
        <v>2024</v>
      </c>
      <c r="E26" s="83">
        <v>2025</v>
      </c>
      <c r="F26" s="83">
        <v>2024</v>
      </c>
      <c r="G26" s="83">
        <v>2025</v>
      </c>
      <c r="H26" s="83">
        <v>2024</v>
      </c>
      <c r="I26" s="83">
        <v>2025</v>
      </c>
      <c r="J26" s="83">
        <v>2024</v>
      </c>
      <c r="K26" s="83">
        <v>2025</v>
      </c>
      <c r="L26" s="83">
        <v>2024</v>
      </c>
      <c r="M26" s="83">
        <v>2025</v>
      </c>
      <c r="O26" s="83">
        <v>2024</v>
      </c>
      <c r="P26" s="29"/>
      <c r="Q26" s="83">
        <v>2024</v>
      </c>
      <c r="S26" s="33">
        <v>2025</v>
      </c>
      <c r="T26" s="29"/>
      <c r="U26" s="6">
        <v>2025</v>
      </c>
      <c r="V26" s="121"/>
    </row>
    <row r="27" spans="1:22" ht="15.75" x14ac:dyDescent="0.25">
      <c r="A27" s="30" t="s">
        <v>26</v>
      </c>
      <c r="B27" s="14"/>
      <c r="C27" s="13"/>
      <c r="D27" s="13"/>
      <c r="E27" s="14"/>
      <c r="F27" s="14"/>
      <c r="G27" s="16"/>
      <c r="H27" s="16"/>
      <c r="I27" s="13"/>
      <c r="J27" s="13">
        <v>1032.94</v>
      </c>
      <c r="K27" s="115">
        <v>1286.04</v>
      </c>
      <c r="L27" s="13">
        <f t="shared" ref="L27:M42" si="10">B27+D27+F27+H27+J27</f>
        <v>1032.94</v>
      </c>
      <c r="M27" s="14">
        <f t="shared" si="10"/>
        <v>1286.04</v>
      </c>
      <c r="N27" s="1"/>
      <c r="O27" s="16"/>
      <c r="P27" s="17"/>
      <c r="Q27" s="14">
        <f t="shared" ref="Q27:Q32" si="11">+L27-O27</f>
        <v>1032.94</v>
      </c>
      <c r="R27" s="1"/>
      <c r="S27" s="16"/>
      <c r="T27" s="19"/>
      <c r="U27" s="16">
        <f>+M27-S27</f>
        <v>1286.04</v>
      </c>
      <c r="V27" s="121"/>
    </row>
    <row r="28" spans="1:22" ht="15.75" x14ac:dyDescent="0.25">
      <c r="A28" s="30" t="s">
        <v>27</v>
      </c>
      <c r="B28" s="16"/>
      <c r="C28" s="13"/>
      <c r="D28" s="13">
        <v>1185.8499999999999</v>
      </c>
      <c r="E28" s="16">
        <v>1170.3499999999999</v>
      </c>
      <c r="F28" s="16"/>
      <c r="G28" s="16"/>
      <c r="H28" s="16"/>
      <c r="I28" s="13"/>
      <c r="J28" s="13"/>
      <c r="K28" s="116"/>
      <c r="L28" s="13">
        <f t="shared" si="10"/>
        <v>1185.8499999999999</v>
      </c>
      <c r="M28" s="16">
        <f t="shared" si="10"/>
        <v>1170.3499999999999</v>
      </c>
      <c r="N28" s="1"/>
      <c r="O28" s="16"/>
      <c r="P28" s="17"/>
      <c r="Q28" s="16">
        <f t="shared" si="11"/>
        <v>1185.8499999999999</v>
      </c>
      <c r="R28" s="1"/>
      <c r="S28" s="16"/>
      <c r="T28" s="19"/>
      <c r="U28" s="16">
        <f t="shared" ref="U28:U42" si="12">+M28-S28</f>
        <v>1170.3499999999999</v>
      </c>
      <c r="V28" s="121"/>
    </row>
    <row r="29" spans="1:22" ht="15.75" x14ac:dyDescent="0.25">
      <c r="A29" t="s">
        <v>28</v>
      </c>
      <c r="B29" s="16"/>
      <c r="C29" s="13"/>
      <c r="D29" s="13"/>
      <c r="E29" s="16"/>
      <c r="F29" s="16">
        <v>1473.41</v>
      </c>
      <c r="G29" s="16">
        <v>3080.06</v>
      </c>
      <c r="H29" s="16"/>
      <c r="I29" s="13"/>
      <c r="J29" s="13"/>
      <c r="K29" s="116"/>
      <c r="L29" s="13">
        <f t="shared" si="10"/>
        <v>1473.41</v>
      </c>
      <c r="M29" s="16">
        <f t="shared" si="10"/>
        <v>3080.06</v>
      </c>
      <c r="N29" s="1"/>
      <c r="O29" s="16"/>
      <c r="P29" s="17"/>
      <c r="Q29" s="16">
        <f t="shared" si="11"/>
        <v>1473.41</v>
      </c>
      <c r="R29" s="1"/>
      <c r="S29" s="16"/>
      <c r="T29" s="19"/>
      <c r="U29" s="16">
        <f t="shared" si="12"/>
        <v>3080.06</v>
      </c>
      <c r="V29" s="121"/>
    </row>
    <row r="30" spans="1:22" ht="15.75" x14ac:dyDescent="0.25">
      <c r="A30" s="34" t="s">
        <v>29</v>
      </c>
      <c r="B30" s="16">
        <v>2271.5500000000002</v>
      </c>
      <c r="C30" s="13">
        <v>1371</v>
      </c>
      <c r="D30" s="13"/>
      <c r="E30" s="16"/>
      <c r="F30" s="16"/>
      <c r="G30" s="16"/>
      <c r="H30" s="16"/>
      <c r="I30" s="13"/>
      <c r="J30" s="13"/>
      <c r="K30" s="116"/>
      <c r="L30" s="13">
        <f t="shared" si="10"/>
        <v>2271.5500000000002</v>
      </c>
      <c r="M30" s="16">
        <f t="shared" si="10"/>
        <v>1371</v>
      </c>
      <c r="N30" s="1"/>
      <c r="O30" s="16"/>
      <c r="P30" s="17"/>
      <c r="Q30" s="16">
        <f t="shared" si="11"/>
        <v>2271.5500000000002</v>
      </c>
      <c r="R30" s="1"/>
      <c r="S30" s="16"/>
      <c r="T30" s="19"/>
      <c r="U30" s="16">
        <f t="shared" si="12"/>
        <v>1371</v>
      </c>
      <c r="V30" s="121"/>
    </row>
    <row r="31" spans="1:22" ht="15.75" x14ac:dyDescent="0.25">
      <c r="A31" t="s">
        <v>30</v>
      </c>
      <c r="B31" s="16">
        <v>1645.91</v>
      </c>
      <c r="C31" s="13">
        <v>800.65</v>
      </c>
      <c r="D31" s="13">
        <v>136.86000000000001</v>
      </c>
      <c r="E31" s="16">
        <v>142.4</v>
      </c>
      <c r="F31" s="16">
        <v>182.95</v>
      </c>
      <c r="G31" s="16">
        <v>174.43</v>
      </c>
      <c r="H31" s="16">
        <v>189.23</v>
      </c>
      <c r="I31" s="13">
        <v>153.36000000000001</v>
      </c>
      <c r="J31" s="13">
        <v>188.45</v>
      </c>
      <c r="K31" s="116">
        <v>150.69</v>
      </c>
      <c r="L31" s="13">
        <f t="shared" si="10"/>
        <v>2343.3999999999996</v>
      </c>
      <c r="M31" s="16">
        <f t="shared" si="10"/>
        <v>1421.5300000000002</v>
      </c>
      <c r="N31" s="1"/>
      <c r="O31" s="16"/>
      <c r="P31" s="17"/>
      <c r="Q31" s="16">
        <f t="shared" si="11"/>
        <v>2343.3999999999996</v>
      </c>
      <c r="R31" s="1"/>
      <c r="S31" s="16"/>
      <c r="T31" s="19"/>
      <c r="U31" s="16">
        <f t="shared" si="12"/>
        <v>1421.5300000000002</v>
      </c>
      <c r="V31" s="121"/>
    </row>
    <row r="32" spans="1:22" ht="15.75" x14ac:dyDescent="0.25">
      <c r="A32" t="s">
        <v>31</v>
      </c>
      <c r="B32" s="16">
        <v>2223.3000000000002</v>
      </c>
      <c r="C32" s="13">
        <v>2310.46</v>
      </c>
      <c r="D32" s="13">
        <v>901.5</v>
      </c>
      <c r="E32" s="16">
        <v>947.7</v>
      </c>
      <c r="F32" s="16">
        <v>1504</v>
      </c>
      <c r="G32" s="16">
        <v>1411.78</v>
      </c>
      <c r="H32" s="16">
        <v>1964.2</v>
      </c>
      <c r="I32" s="13">
        <v>542.4</v>
      </c>
      <c r="J32" s="13"/>
      <c r="K32" s="116"/>
      <c r="L32" s="13">
        <f t="shared" si="10"/>
        <v>6593</v>
      </c>
      <c r="M32" s="16">
        <f t="shared" si="10"/>
        <v>5212.3399999999992</v>
      </c>
      <c r="N32" s="1"/>
      <c r="O32" s="16"/>
      <c r="P32" s="17"/>
      <c r="Q32" s="16">
        <f t="shared" si="11"/>
        <v>6593</v>
      </c>
      <c r="R32" s="1"/>
      <c r="S32" s="16"/>
      <c r="T32" s="19"/>
      <c r="U32" s="16">
        <f t="shared" si="12"/>
        <v>5212.3399999999992</v>
      </c>
      <c r="V32" s="121"/>
    </row>
    <row r="33" spans="1:22" ht="15.75" x14ac:dyDescent="0.25">
      <c r="A33" t="s">
        <v>32</v>
      </c>
      <c r="B33" s="16"/>
      <c r="C33" s="13">
        <v>0</v>
      </c>
      <c r="D33" s="13"/>
      <c r="E33" s="16"/>
      <c r="F33" s="16"/>
      <c r="G33" s="16"/>
      <c r="H33" s="16"/>
      <c r="I33" s="13"/>
      <c r="J33" s="13"/>
      <c r="K33" s="116"/>
      <c r="L33" s="13">
        <f t="shared" si="10"/>
        <v>0</v>
      </c>
      <c r="M33" s="16">
        <f t="shared" si="10"/>
        <v>0</v>
      </c>
      <c r="N33" s="1"/>
      <c r="O33" s="16"/>
      <c r="P33" s="19"/>
      <c r="Q33" s="16">
        <f>+L33+O33</f>
        <v>0</v>
      </c>
      <c r="R33" s="1"/>
      <c r="S33" s="16"/>
      <c r="T33" s="19"/>
      <c r="U33" s="16">
        <f t="shared" si="12"/>
        <v>0</v>
      </c>
      <c r="V33" s="121"/>
    </row>
    <row r="34" spans="1:22" ht="15.75" x14ac:dyDescent="0.25">
      <c r="A34" t="s">
        <v>33</v>
      </c>
      <c r="B34" s="16">
        <v>1115.76</v>
      </c>
      <c r="C34" s="13">
        <v>2564.42</v>
      </c>
      <c r="D34" s="13"/>
      <c r="E34" s="16"/>
      <c r="F34" s="16"/>
      <c r="G34" s="16"/>
      <c r="H34" s="16"/>
      <c r="I34" s="13"/>
      <c r="J34" s="13">
        <v>32.4</v>
      </c>
      <c r="K34" s="116">
        <v>81.900000000000006</v>
      </c>
      <c r="L34" s="13">
        <f t="shared" si="10"/>
        <v>1148.1600000000001</v>
      </c>
      <c r="M34" s="16">
        <f t="shared" si="10"/>
        <v>2646.32</v>
      </c>
      <c r="N34" s="1"/>
      <c r="O34" s="16"/>
      <c r="P34" s="19"/>
      <c r="Q34" s="16">
        <f>+L34+O34</f>
        <v>1148.1600000000001</v>
      </c>
      <c r="R34" s="1"/>
      <c r="S34" s="16"/>
      <c r="T34" s="19"/>
      <c r="U34" s="16">
        <f t="shared" si="12"/>
        <v>2646.32</v>
      </c>
      <c r="V34" s="121"/>
    </row>
    <row r="35" spans="1:22" ht="15.75" x14ac:dyDescent="0.25">
      <c r="A35" t="s">
        <v>34</v>
      </c>
      <c r="B35" s="16">
        <v>910.25</v>
      </c>
      <c r="C35" s="13">
        <v>205.75</v>
      </c>
      <c r="D35" s="13"/>
      <c r="E35" s="16"/>
      <c r="F35" s="16">
        <v>460.8</v>
      </c>
      <c r="G35" s="16">
        <v>352.54</v>
      </c>
      <c r="H35" s="16"/>
      <c r="I35" s="13"/>
      <c r="J35" s="13">
        <v>438.02</v>
      </c>
      <c r="K35" s="116">
        <v>450.1</v>
      </c>
      <c r="L35" s="13">
        <f t="shared" si="10"/>
        <v>1809.07</v>
      </c>
      <c r="M35" s="16">
        <f t="shared" si="10"/>
        <v>1008.39</v>
      </c>
      <c r="N35" s="1"/>
      <c r="O35" s="16"/>
      <c r="P35" s="19"/>
      <c r="Q35" s="16">
        <f>+L35+O35</f>
        <v>1809.07</v>
      </c>
      <c r="R35" s="1"/>
      <c r="S35" s="16"/>
      <c r="T35" s="19"/>
      <c r="U35" s="16">
        <f t="shared" si="12"/>
        <v>1008.39</v>
      </c>
      <c r="V35" s="121"/>
    </row>
    <row r="36" spans="1:22" ht="15.75" x14ac:dyDescent="0.25">
      <c r="A36" t="s">
        <v>35</v>
      </c>
      <c r="B36" s="16">
        <v>5694.7</v>
      </c>
      <c r="C36" s="13">
        <v>7378.38</v>
      </c>
      <c r="D36" s="13"/>
      <c r="E36" s="16"/>
      <c r="F36" s="16"/>
      <c r="G36" s="16"/>
      <c r="H36" s="16"/>
      <c r="I36" s="13"/>
      <c r="J36" s="13">
        <v>168</v>
      </c>
      <c r="K36" s="116">
        <v>129</v>
      </c>
      <c r="L36" s="13">
        <f t="shared" si="10"/>
        <v>5862.7</v>
      </c>
      <c r="M36" s="16">
        <f t="shared" si="10"/>
        <v>7507.38</v>
      </c>
      <c r="N36" s="1"/>
      <c r="O36" s="16"/>
      <c r="P36" s="19"/>
      <c r="Q36" s="16">
        <f>+L36+O36</f>
        <v>5862.7</v>
      </c>
      <c r="R36" s="1"/>
      <c r="S36" s="16"/>
      <c r="T36" s="19"/>
      <c r="U36" s="16">
        <f t="shared" si="12"/>
        <v>7507.38</v>
      </c>
      <c r="V36" s="121"/>
    </row>
    <row r="37" spans="1:22" ht="15.75" x14ac:dyDescent="0.25">
      <c r="A37" s="30" t="s">
        <v>36</v>
      </c>
      <c r="B37" s="16"/>
      <c r="C37" s="13"/>
      <c r="D37" s="13">
        <f>563.22+402.5+291.7+648.1+1039.65+714+487+400+515.84+420+350+603.21+1658.26+73.56+1151.5+1706.64</f>
        <v>11025.18</v>
      </c>
      <c r="E37" s="16">
        <v>11978.33</v>
      </c>
      <c r="F37" s="16">
        <f>1788.35+1216.55+1108.61+1316.26+173.75+425+1131+1161.5+651.8+599.63+194.5+382.4+1353.95+912.85+1712.41+449.7+942.95+539+17.5+1248.98+549.5+288.25</f>
        <v>18164.440000000002</v>
      </c>
      <c r="G37" s="16">
        <v>19339.04</v>
      </c>
      <c r="H37" s="16">
        <f>479.5+1171.7+632.13+1140.7</f>
        <v>3424.0299999999997</v>
      </c>
      <c r="I37" s="13">
        <v>3774.31</v>
      </c>
      <c r="J37" s="13">
        <f>1390.5+362.9+145.35+1117+473+373.41+493.2+1159+474+322.3+754+1018.5+3087.86+1703+2848.1</f>
        <v>15722.12</v>
      </c>
      <c r="K37" s="116">
        <v>16000.14</v>
      </c>
      <c r="L37" s="13">
        <f t="shared" si="10"/>
        <v>48335.770000000004</v>
      </c>
      <c r="M37" s="16">
        <f t="shared" si="10"/>
        <v>51091.82</v>
      </c>
      <c r="N37" s="1"/>
      <c r="O37" s="16"/>
      <c r="P37" s="19"/>
      <c r="Q37" s="16">
        <f>+L37+O37</f>
        <v>48335.770000000004</v>
      </c>
      <c r="R37" s="1"/>
      <c r="S37" s="16"/>
      <c r="T37" s="19"/>
      <c r="U37" s="16">
        <f t="shared" si="12"/>
        <v>51091.82</v>
      </c>
      <c r="V37" s="121"/>
    </row>
    <row r="38" spans="1:22" ht="15.75" x14ac:dyDescent="0.25">
      <c r="A38" s="30" t="s">
        <v>37</v>
      </c>
      <c r="B38" s="16"/>
      <c r="C38" s="13"/>
      <c r="D38" s="13"/>
      <c r="E38" s="16"/>
      <c r="F38" s="16"/>
      <c r="G38" s="16"/>
      <c r="H38" s="16"/>
      <c r="I38" s="13"/>
      <c r="J38" s="13"/>
      <c r="K38" s="116"/>
      <c r="L38" s="13"/>
      <c r="M38" s="16"/>
      <c r="N38" s="1"/>
      <c r="O38" s="16"/>
      <c r="P38" s="19"/>
      <c r="Q38" s="16"/>
      <c r="R38" s="1"/>
      <c r="S38" s="16"/>
      <c r="T38" s="19"/>
      <c r="U38" s="16">
        <f t="shared" si="12"/>
        <v>0</v>
      </c>
      <c r="V38" s="121"/>
    </row>
    <row r="39" spans="1:22" ht="15.75" x14ac:dyDescent="0.25">
      <c r="A39" s="35" t="s">
        <v>38</v>
      </c>
      <c r="B39" s="16">
        <v>19450</v>
      </c>
      <c r="C39" s="13">
        <v>15000</v>
      </c>
      <c r="D39" s="13"/>
      <c r="E39" s="16"/>
      <c r="F39" s="16"/>
      <c r="G39" s="16"/>
      <c r="H39" s="16"/>
      <c r="I39" s="13"/>
      <c r="J39" s="13"/>
      <c r="K39" s="116"/>
      <c r="L39" s="13">
        <f t="shared" si="10"/>
        <v>19450</v>
      </c>
      <c r="M39" s="16">
        <f t="shared" si="10"/>
        <v>15000</v>
      </c>
      <c r="N39" s="1"/>
      <c r="O39" s="16">
        <f>L39</f>
        <v>19450</v>
      </c>
      <c r="P39" s="25"/>
      <c r="Q39" s="16"/>
      <c r="R39" s="1"/>
      <c r="S39" s="16">
        <v>15000</v>
      </c>
      <c r="T39" s="20"/>
      <c r="U39" s="16">
        <f t="shared" si="12"/>
        <v>0</v>
      </c>
      <c r="V39" s="121"/>
    </row>
    <row r="40" spans="1:22" ht="15.75" x14ac:dyDescent="0.25">
      <c r="A40" s="35" t="s">
        <v>39</v>
      </c>
      <c r="B40" s="16">
        <v>15000</v>
      </c>
      <c r="C40" s="13">
        <v>13000</v>
      </c>
      <c r="D40" s="13"/>
      <c r="E40" s="16"/>
      <c r="F40" s="16"/>
      <c r="G40" s="16"/>
      <c r="H40" s="16"/>
      <c r="I40" s="13"/>
      <c r="J40" s="13"/>
      <c r="K40" s="116"/>
      <c r="L40" s="13">
        <f t="shared" si="10"/>
        <v>15000</v>
      </c>
      <c r="M40" s="16">
        <f t="shared" si="10"/>
        <v>13000</v>
      </c>
      <c r="N40" s="1"/>
      <c r="O40" s="16">
        <f t="shared" ref="O40:O42" si="13">L40</f>
        <v>15000</v>
      </c>
      <c r="P40" s="25"/>
      <c r="Q40" s="16"/>
      <c r="R40" s="1"/>
      <c r="S40" s="16">
        <v>13000</v>
      </c>
      <c r="T40" s="20"/>
      <c r="U40" s="16">
        <f t="shared" si="12"/>
        <v>0</v>
      </c>
      <c r="V40" s="121"/>
    </row>
    <row r="41" spans="1:22" ht="15.75" x14ac:dyDescent="0.25">
      <c r="A41" s="35" t="s">
        <v>40</v>
      </c>
      <c r="B41" s="16">
        <v>22500</v>
      </c>
      <c r="C41" s="13">
        <v>25000</v>
      </c>
      <c r="D41" s="13"/>
      <c r="E41" s="16"/>
      <c r="F41" s="16"/>
      <c r="G41" s="16"/>
      <c r="H41" s="16"/>
      <c r="I41" s="13"/>
      <c r="J41" s="13"/>
      <c r="K41" s="116"/>
      <c r="L41" s="13">
        <f t="shared" si="10"/>
        <v>22500</v>
      </c>
      <c r="M41" s="16">
        <f t="shared" si="10"/>
        <v>25000</v>
      </c>
      <c r="N41" s="1"/>
      <c r="O41" s="16">
        <f t="shared" si="13"/>
        <v>22500</v>
      </c>
      <c r="P41" s="25"/>
      <c r="Q41" s="16"/>
      <c r="R41" s="1"/>
      <c r="S41" s="16">
        <v>25000</v>
      </c>
      <c r="T41" s="20"/>
      <c r="U41" s="16">
        <f t="shared" si="12"/>
        <v>0</v>
      </c>
      <c r="V41" s="121"/>
    </row>
    <row r="42" spans="1:22" ht="15.75" x14ac:dyDescent="0.25">
      <c r="A42" s="35" t="s">
        <v>41</v>
      </c>
      <c r="B42" s="16">
        <v>5250</v>
      </c>
      <c r="C42" s="13">
        <v>4250</v>
      </c>
      <c r="D42" s="13"/>
      <c r="E42" s="16"/>
      <c r="F42" s="16"/>
      <c r="G42" s="16"/>
      <c r="H42" s="16"/>
      <c r="I42" s="13"/>
      <c r="J42" s="13"/>
      <c r="K42" s="116"/>
      <c r="L42" s="13">
        <f t="shared" si="10"/>
        <v>5250</v>
      </c>
      <c r="M42" s="16">
        <f t="shared" si="10"/>
        <v>4250</v>
      </c>
      <c r="N42" s="1"/>
      <c r="O42" s="16">
        <f t="shared" si="13"/>
        <v>5250</v>
      </c>
      <c r="P42" s="36"/>
      <c r="Q42" s="16"/>
      <c r="R42" s="1"/>
      <c r="S42" s="16">
        <v>4250</v>
      </c>
      <c r="T42" s="37"/>
      <c r="U42" s="16">
        <f t="shared" si="12"/>
        <v>0</v>
      </c>
      <c r="V42" s="121"/>
    </row>
    <row r="43" spans="1:22" ht="15.75" x14ac:dyDescent="0.25">
      <c r="A43" s="30" t="s">
        <v>42</v>
      </c>
      <c r="B43" s="111">
        <f>SUM(B27:B42)</f>
        <v>76061.47</v>
      </c>
      <c r="C43" s="111">
        <f t="shared" ref="C43:M43" si="14">SUM(C27:C42)</f>
        <v>71880.66</v>
      </c>
      <c r="D43" s="111">
        <f t="shared" si="14"/>
        <v>13249.39</v>
      </c>
      <c r="E43" s="111">
        <f t="shared" si="14"/>
        <v>14238.779999999999</v>
      </c>
      <c r="F43" s="111">
        <f t="shared" si="14"/>
        <v>21785.600000000002</v>
      </c>
      <c r="G43" s="111">
        <f t="shared" si="14"/>
        <v>24357.85</v>
      </c>
      <c r="H43" s="111">
        <f t="shared" si="14"/>
        <v>5577.4599999999991</v>
      </c>
      <c r="I43" s="111">
        <f t="shared" si="14"/>
        <v>4470.07</v>
      </c>
      <c r="J43" s="111">
        <f t="shared" si="14"/>
        <v>17581.93</v>
      </c>
      <c r="K43" s="117">
        <f t="shared" si="14"/>
        <v>18097.87</v>
      </c>
      <c r="L43" s="111">
        <f t="shared" si="14"/>
        <v>134255.85</v>
      </c>
      <c r="M43" s="111">
        <f t="shared" si="14"/>
        <v>133045.22999999998</v>
      </c>
      <c r="N43" s="1"/>
      <c r="O43" s="111">
        <f t="shared" ref="O43:Q43" si="15">SUM(O27:O42)</f>
        <v>62200</v>
      </c>
      <c r="P43" s="29"/>
      <c r="Q43" s="111">
        <f t="shared" si="15"/>
        <v>72055.850000000006</v>
      </c>
      <c r="R43" s="29"/>
      <c r="S43" s="111">
        <f>SUM(S27:S42)</f>
        <v>57250</v>
      </c>
      <c r="T43" s="29"/>
      <c r="U43" s="111">
        <f>SUM(U27:U42)</f>
        <v>75795.23</v>
      </c>
      <c r="V43" s="121"/>
    </row>
    <row r="44" spans="1:22" ht="15.75" x14ac:dyDescent="0.25">
      <c r="A44" s="3"/>
      <c r="B44" s="1"/>
      <c r="D44" s="1"/>
      <c r="E44" s="1"/>
      <c r="F44" s="1"/>
      <c r="G44" s="1"/>
      <c r="H44" s="1"/>
      <c r="I44" s="1"/>
      <c r="J44" s="1"/>
      <c r="K44" s="1"/>
      <c r="L44" s="1"/>
      <c r="M44" s="32"/>
      <c r="N44" s="1"/>
      <c r="O44" s="1"/>
      <c r="P44" s="18"/>
      <c r="Q44" s="1"/>
      <c r="R44" s="1"/>
      <c r="S44" s="1"/>
      <c r="T44" s="18"/>
      <c r="U44" s="1"/>
      <c r="V44" s="121"/>
    </row>
    <row r="45" spans="1:22" ht="15.75" x14ac:dyDescent="0.25">
      <c r="A45" s="2" t="s">
        <v>43</v>
      </c>
      <c r="B45" s="83">
        <v>2024</v>
      </c>
      <c r="C45" s="83">
        <v>2025</v>
      </c>
      <c r="D45" s="83">
        <v>2024</v>
      </c>
      <c r="E45" s="83">
        <v>2025</v>
      </c>
      <c r="F45" s="83">
        <v>2024</v>
      </c>
      <c r="G45" s="83">
        <v>2025</v>
      </c>
      <c r="H45" s="83">
        <v>2024</v>
      </c>
      <c r="I45" s="83">
        <v>2025</v>
      </c>
      <c r="J45" s="83">
        <v>2024</v>
      </c>
      <c r="K45" s="83">
        <v>2025</v>
      </c>
      <c r="L45" s="83">
        <v>2024</v>
      </c>
      <c r="M45" s="83">
        <v>2025</v>
      </c>
      <c r="O45" s="83">
        <v>2024</v>
      </c>
      <c r="P45" s="29"/>
      <c r="Q45" s="83">
        <v>2024</v>
      </c>
      <c r="S45" s="33">
        <v>2025</v>
      </c>
      <c r="T45" s="29"/>
      <c r="U45" s="6">
        <v>2025</v>
      </c>
      <c r="V45" s="121"/>
    </row>
    <row r="46" spans="1:22" ht="15.75" x14ac:dyDescent="0.25">
      <c r="A46" t="s">
        <v>263</v>
      </c>
      <c r="B46" s="16">
        <v>38582.25</v>
      </c>
      <c r="C46" s="16">
        <v>35467.919999999998</v>
      </c>
      <c r="D46" s="16"/>
      <c r="E46" s="16"/>
      <c r="F46" s="16"/>
      <c r="G46" s="16"/>
      <c r="H46" s="16"/>
      <c r="I46" s="16"/>
      <c r="J46" s="16"/>
      <c r="L46" s="13">
        <f t="shared" ref="L46:M52" si="16">B46+D46+F46+H46+J46</f>
        <v>38582.25</v>
      </c>
      <c r="M46" s="14">
        <f t="shared" si="16"/>
        <v>35467.919999999998</v>
      </c>
      <c r="N46" s="1"/>
      <c r="O46" s="16">
        <v>1242.75</v>
      </c>
      <c r="P46" s="19"/>
      <c r="Q46" s="16">
        <f>+L46-O46</f>
        <v>37339.5</v>
      </c>
      <c r="R46" s="1"/>
      <c r="S46" s="16"/>
      <c r="T46" s="20"/>
      <c r="U46" s="16">
        <f t="shared" ref="U46:U52" si="17">+M46-S46</f>
        <v>35467.919999999998</v>
      </c>
      <c r="V46" s="121"/>
    </row>
    <row r="47" spans="1:22" ht="15.75" x14ac:dyDescent="0.25">
      <c r="A47" t="s">
        <v>44</v>
      </c>
      <c r="B47" s="16"/>
      <c r="C47" s="16"/>
      <c r="D47" s="16"/>
      <c r="E47" s="16"/>
      <c r="F47" s="16"/>
      <c r="G47" s="16"/>
      <c r="H47" s="16"/>
      <c r="I47" s="16"/>
      <c r="J47" s="16"/>
      <c r="L47" s="13">
        <f t="shared" si="16"/>
        <v>0</v>
      </c>
      <c r="M47" s="16">
        <f t="shared" si="16"/>
        <v>0</v>
      </c>
      <c r="N47" s="1"/>
      <c r="O47" s="16">
        <v>-1242.75</v>
      </c>
      <c r="P47" s="19"/>
      <c r="Q47" s="16">
        <f>+L47-O47</f>
        <v>1242.75</v>
      </c>
      <c r="R47" s="1"/>
      <c r="S47" s="16"/>
      <c r="T47" s="20"/>
      <c r="U47" s="16">
        <f t="shared" si="17"/>
        <v>0</v>
      </c>
      <c r="V47" s="121"/>
    </row>
    <row r="48" spans="1:22" ht="15.75" x14ac:dyDescent="0.25">
      <c r="A48" s="34" t="s">
        <v>45</v>
      </c>
      <c r="B48" s="16">
        <v>30000</v>
      </c>
      <c r="C48" s="16">
        <v>30000</v>
      </c>
      <c r="D48" s="16"/>
      <c r="E48" s="16"/>
      <c r="F48" s="16"/>
      <c r="G48" s="16"/>
      <c r="H48" s="16"/>
      <c r="I48" s="16"/>
      <c r="J48" s="16"/>
      <c r="L48" s="13">
        <f t="shared" si="16"/>
        <v>30000</v>
      </c>
      <c r="M48" s="16">
        <f t="shared" si="16"/>
        <v>30000</v>
      </c>
      <c r="N48" s="1"/>
      <c r="O48" s="16"/>
      <c r="P48" s="19"/>
      <c r="Q48" s="16">
        <f t="shared" ref="Q48:Q52" si="18">+L48-O48</f>
        <v>30000</v>
      </c>
      <c r="R48" s="1"/>
      <c r="S48" s="16"/>
      <c r="T48" s="20"/>
      <c r="U48" s="16">
        <f t="shared" si="17"/>
        <v>30000</v>
      </c>
      <c r="V48" s="121"/>
    </row>
    <row r="49" spans="1:22" ht="15.75" x14ac:dyDescent="0.25">
      <c r="A49" t="s">
        <v>38</v>
      </c>
      <c r="B49" s="16"/>
      <c r="C49" s="16"/>
      <c r="D49" s="16"/>
      <c r="E49" s="16"/>
      <c r="F49" s="16"/>
      <c r="G49" s="16"/>
      <c r="H49" s="16"/>
      <c r="I49" s="16"/>
      <c r="J49" s="16">
        <v>19450</v>
      </c>
      <c r="K49" s="118">
        <v>15000</v>
      </c>
      <c r="L49" s="13">
        <f t="shared" si="16"/>
        <v>19450</v>
      </c>
      <c r="M49" s="16">
        <f t="shared" si="16"/>
        <v>15000</v>
      </c>
      <c r="N49" s="1"/>
      <c r="O49" s="16">
        <f>L49</f>
        <v>19450</v>
      </c>
      <c r="P49" s="25"/>
      <c r="Q49" s="16">
        <f t="shared" si="18"/>
        <v>0</v>
      </c>
      <c r="R49" s="1"/>
      <c r="S49" s="16">
        <v>15000</v>
      </c>
      <c r="T49" s="20"/>
      <c r="U49" s="16">
        <f t="shared" si="17"/>
        <v>0</v>
      </c>
      <c r="V49" s="121"/>
    </row>
    <row r="50" spans="1:22" ht="15.75" x14ac:dyDescent="0.25">
      <c r="A50" t="s">
        <v>39</v>
      </c>
      <c r="B50" s="16"/>
      <c r="C50" s="16"/>
      <c r="D50" s="16">
        <v>15000</v>
      </c>
      <c r="E50" s="16">
        <v>13000</v>
      </c>
      <c r="F50" s="16"/>
      <c r="G50" s="16"/>
      <c r="H50" s="16"/>
      <c r="I50" s="16"/>
      <c r="J50" s="16"/>
      <c r="L50" s="13">
        <f t="shared" si="16"/>
        <v>15000</v>
      </c>
      <c r="M50" s="16">
        <f t="shared" si="16"/>
        <v>13000</v>
      </c>
      <c r="N50" s="1"/>
      <c r="O50" s="16">
        <f t="shared" ref="O50:O52" si="19">L50</f>
        <v>15000</v>
      </c>
      <c r="P50" s="25"/>
      <c r="Q50" s="16">
        <f t="shared" si="18"/>
        <v>0</v>
      </c>
      <c r="R50" s="1"/>
      <c r="S50" s="16">
        <v>13000</v>
      </c>
      <c r="T50" s="20"/>
      <c r="U50" s="16">
        <f t="shared" si="17"/>
        <v>0</v>
      </c>
      <c r="V50" s="121"/>
    </row>
    <row r="51" spans="1:22" ht="15.75" x14ac:dyDescent="0.25">
      <c r="A51" t="s">
        <v>40</v>
      </c>
      <c r="B51" s="16"/>
      <c r="C51" s="16"/>
      <c r="D51" s="16"/>
      <c r="E51" s="16"/>
      <c r="F51" s="16">
        <v>22500</v>
      </c>
      <c r="G51" s="16">
        <v>25000</v>
      </c>
      <c r="H51" s="16"/>
      <c r="I51" s="16"/>
      <c r="J51" s="16"/>
      <c r="L51" s="13">
        <f t="shared" si="16"/>
        <v>22500</v>
      </c>
      <c r="M51" s="16">
        <f t="shared" si="16"/>
        <v>25000</v>
      </c>
      <c r="N51" s="1"/>
      <c r="O51" s="16">
        <f t="shared" si="19"/>
        <v>22500</v>
      </c>
      <c r="P51" s="25"/>
      <c r="Q51" s="16">
        <f t="shared" si="18"/>
        <v>0</v>
      </c>
      <c r="R51" s="1"/>
      <c r="S51" s="16">
        <v>25000</v>
      </c>
      <c r="T51" s="20"/>
      <c r="U51" s="16">
        <f t="shared" si="17"/>
        <v>0</v>
      </c>
      <c r="V51" s="121"/>
    </row>
    <row r="52" spans="1:22" ht="15.75" x14ac:dyDescent="0.25">
      <c r="A52" t="s">
        <v>41</v>
      </c>
      <c r="B52" s="16"/>
      <c r="C52" s="16"/>
      <c r="D52" s="16"/>
      <c r="E52" s="16"/>
      <c r="F52" s="16"/>
      <c r="G52" s="16"/>
      <c r="H52" s="16">
        <v>5250</v>
      </c>
      <c r="I52" s="16">
        <v>4250</v>
      </c>
      <c r="J52" s="16"/>
      <c r="L52" s="13">
        <f t="shared" si="16"/>
        <v>5250</v>
      </c>
      <c r="M52" s="16">
        <f t="shared" si="16"/>
        <v>4250</v>
      </c>
      <c r="N52" s="1"/>
      <c r="O52" s="16">
        <f t="shared" si="19"/>
        <v>5250</v>
      </c>
      <c r="P52" s="25"/>
      <c r="Q52" s="16">
        <f t="shared" si="18"/>
        <v>0</v>
      </c>
      <c r="R52" s="1"/>
      <c r="S52" s="16">
        <v>4250</v>
      </c>
      <c r="T52" s="20"/>
      <c r="U52" s="16">
        <f t="shared" si="17"/>
        <v>0</v>
      </c>
      <c r="V52" s="121"/>
    </row>
    <row r="53" spans="1:22" ht="15.75" x14ac:dyDescent="0.25">
      <c r="A53" s="30" t="s">
        <v>46</v>
      </c>
      <c r="B53" s="111">
        <f>SUM(B46:B52)</f>
        <v>68582.25</v>
      </c>
      <c r="C53" s="111">
        <f t="shared" ref="C53:M53" si="20">SUM(C46:C52)</f>
        <v>65467.92</v>
      </c>
      <c r="D53" s="111">
        <f t="shared" si="20"/>
        <v>15000</v>
      </c>
      <c r="E53" s="111">
        <f t="shared" si="20"/>
        <v>13000</v>
      </c>
      <c r="F53" s="111">
        <f t="shared" si="20"/>
        <v>22500</v>
      </c>
      <c r="G53" s="111">
        <f t="shared" si="20"/>
        <v>25000</v>
      </c>
      <c r="H53" s="111">
        <f t="shared" si="20"/>
        <v>5250</v>
      </c>
      <c r="I53" s="111">
        <f t="shared" si="20"/>
        <v>4250</v>
      </c>
      <c r="J53" s="111">
        <f t="shared" si="20"/>
        <v>19450</v>
      </c>
      <c r="K53" s="111">
        <f t="shared" si="20"/>
        <v>15000</v>
      </c>
      <c r="L53" s="111">
        <f t="shared" si="20"/>
        <v>130782.25</v>
      </c>
      <c r="M53" s="111">
        <f t="shared" si="20"/>
        <v>122717.92</v>
      </c>
      <c r="N53" s="1"/>
      <c r="O53" s="111">
        <f>SUM(O49:O52)</f>
        <v>62200</v>
      </c>
      <c r="P53" s="29"/>
      <c r="Q53" s="111">
        <f>SUM(Q46:Q51)</f>
        <v>68582.25</v>
      </c>
      <c r="R53" s="29"/>
      <c r="S53" s="111">
        <f>SUM(S46:S52)</f>
        <v>57250</v>
      </c>
      <c r="T53" s="29"/>
      <c r="U53" s="111">
        <f>SUM(U46:U52)</f>
        <v>65467.92</v>
      </c>
      <c r="V53" s="121"/>
    </row>
    <row r="54" spans="1:22" ht="15.75" x14ac:dyDescent="0.25">
      <c r="A54" s="30"/>
      <c r="B54" s="1"/>
      <c r="D54" s="1"/>
      <c r="E54" s="1"/>
      <c r="F54" s="1"/>
      <c r="G54" s="1"/>
      <c r="H54" s="1"/>
      <c r="I54" s="1"/>
      <c r="J54" s="1"/>
      <c r="K54" s="1"/>
      <c r="L54" s="1"/>
      <c r="M54" s="32"/>
      <c r="N54" s="1"/>
      <c r="O54" s="16"/>
      <c r="P54" s="19"/>
      <c r="Q54" s="16"/>
      <c r="R54" s="1"/>
      <c r="S54" s="16"/>
      <c r="T54" s="19"/>
      <c r="U54" s="16"/>
      <c r="V54" s="121"/>
    </row>
    <row r="55" spans="1:22" ht="16.5" thickBot="1" x14ac:dyDescent="0.3">
      <c r="A55" t="s">
        <v>47</v>
      </c>
      <c r="B55" s="23">
        <f t="shared" ref="B55:K55" si="21">+B43-B53</f>
        <v>7479.2200000000012</v>
      </c>
      <c r="C55" s="114">
        <f t="shared" si="21"/>
        <v>6412.7400000000052</v>
      </c>
      <c r="D55" s="23">
        <f t="shared" si="21"/>
        <v>-1750.6100000000006</v>
      </c>
      <c r="E55" s="114">
        <f t="shared" si="21"/>
        <v>1238.7799999999988</v>
      </c>
      <c r="F55" s="23">
        <f t="shared" si="21"/>
        <v>-714.39999999999782</v>
      </c>
      <c r="G55" s="114">
        <f t="shared" si="21"/>
        <v>-642.15000000000146</v>
      </c>
      <c r="H55" s="23">
        <f t="shared" si="21"/>
        <v>327.45999999999913</v>
      </c>
      <c r="I55" s="114">
        <f t="shared" si="21"/>
        <v>220.06999999999971</v>
      </c>
      <c r="J55" s="23">
        <f t="shared" si="21"/>
        <v>-1868.0699999999997</v>
      </c>
      <c r="K55" s="114">
        <f t="shared" si="21"/>
        <v>3097.869999999999</v>
      </c>
      <c r="L55" s="24">
        <f>+L43-L53</f>
        <v>3473.6000000000058</v>
      </c>
      <c r="M55" s="114">
        <f>+M43-M53</f>
        <v>10327.309999999983</v>
      </c>
      <c r="N55" s="1"/>
      <c r="O55" s="23">
        <f>+O43-O53</f>
        <v>0</v>
      </c>
      <c r="P55" s="38"/>
      <c r="Q55" s="23">
        <f>+Q43-Q53</f>
        <v>3473.6000000000058</v>
      </c>
      <c r="R55" s="1"/>
      <c r="S55" s="23">
        <f>+S43-S53</f>
        <v>0</v>
      </c>
      <c r="T55" s="38"/>
      <c r="U55" s="114">
        <f>+U43-U53</f>
        <v>10327.309999999998</v>
      </c>
      <c r="V55" s="121"/>
    </row>
    <row r="56" spans="1:22" ht="16.5" thickTop="1" x14ac:dyDescent="0.25">
      <c r="B56" s="113"/>
      <c r="C56" s="39"/>
      <c r="D56" s="40"/>
      <c r="E56" s="40"/>
      <c r="F56" s="40"/>
      <c r="G56" s="39"/>
      <c r="H56" s="40"/>
      <c r="I56" s="40"/>
      <c r="J56" s="40"/>
      <c r="K56" s="40"/>
      <c r="L56" s="41">
        <f>+B55+D55+F55+H55+J55</f>
        <v>3473.6000000000022</v>
      </c>
      <c r="M56" s="216">
        <f>+C55+E55+G55+I55+K55</f>
        <v>10327.310000000001</v>
      </c>
      <c r="N56" s="1"/>
      <c r="O56" s="41"/>
      <c r="P56" s="42"/>
      <c r="Q56" s="21"/>
      <c r="R56" s="1"/>
      <c r="S56" s="41"/>
      <c r="T56" s="42"/>
      <c r="U56" s="21"/>
      <c r="V56" s="121"/>
    </row>
    <row r="57" spans="1:22" x14ac:dyDescent="0.25">
      <c r="A57" s="43" t="s">
        <v>48</v>
      </c>
      <c r="M57" s="1"/>
      <c r="P57" s="2"/>
      <c r="T57" s="2"/>
      <c r="V57" s="120"/>
    </row>
    <row r="58" spans="1:22" x14ac:dyDescent="0.25">
      <c r="A58" t="s">
        <v>49</v>
      </c>
      <c r="L58" s="120"/>
      <c r="M58" s="1"/>
      <c r="P58" s="2"/>
    </row>
    <row r="60" spans="1:22" x14ac:dyDescent="0.25">
      <c r="M60" s="1"/>
    </row>
    <row r="61" spans="1:22" x14ac:dyDescent="0.25">
      <c r="B61" s="1"/>
      <c r="D61" s="1"/>
      <c r="E61" s="1"/>
      <c r="F61" s="1"/>
      <c r="G61" s="1"/>
      <c r="H61" s="1"/>
      <c r="I61" s="1"/>
      <c r="J61" s="1"/>
      <c r="K61" s="1"/>
      <c r="L61" s="1"/>
      <c r="M61" s="1"/>
    </row>
  </sheetData>
  <mergeCells count="6">
    <mergeCell ref="L4:M4"/>
    <mergeCell ref="B4:C4"/>
    <mergeCell ref="D4:E4"/>
    <mergeCell ref="F4:G4"/>
    <mergeCell ref="H4:I4"/>
    <mergeCell ref="J4:K4"/>
  </mergeCells>
  <printOptions gridLines="1"/>
  <pageMargins left="0.70866141732283472" right="0.70866141732283472" top="0.74803149606299213" bottom="0.74803149606299213" header="0.31496062992125984" footer="0.31496062992125984"/>
  <pageSetup paperSize="9" scale="51" orientation="landscape" r:id="rId1"/>
  <ignoredErrors>
    <ignoredError sqref="N43:U43 O23 D23 H23 J23:K23 O16 B23 F23:G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77A6D-B076-4913-836B-676884400D75}">
  <sheetPr>
    <pageSetUpPr fitToPage="1"/>
  </sheetPr>
  <dimension ref="A1:S45"/>
  <sheetViews>
    <sheetView workbookViewId="0">
      <selection activeCell="N38" sqref="N38"/>
    </sheetView>
  </sheetViews>
  <sheetFormatPr defaultRowHeight="15" x14ac:dyDescent="0.25"/>
  <cols>
    <col min="1" max="1" width="3.140625" customWidth="1"/>
    <col min="2" max="2" width="0" hidden="1" customWidth="1"/>
    <col min="3" max="3" width="4.42578125" customWidth="1"/>
  </cols>
  <sheetData>
    <row r="1" spans="1:19" ht="21" x14ac:dyDescent="0.35">
      <c r="A1" s="134" t="s">
        <v>254</v>
      </c>
    </row>
    <row r="2" spans="1:19" ht="9" customHeight="1" x14ac:dyDescent="0.25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9" ht="15.75" x14ac:dyDescent="0.25">
      <c r="A3" s="62" t="s">
        <v>256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9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9" ht="18" x14ac:dyDescent="0.25">
      <c r="A5" s="44"/>
      <c r="B5" s="44"/>
      <c r="C5" s="44"/>
      <c r="D5" s="45" t="s">
        <v>50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1:19" ht="18" x14ac:dyDescent="0.25">
      <c r="A6" s="45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  <row r="7" spans="1:19" ht="18" x14ac:dyDescent="0.25">
      <c r="A7" s="45"/>
      <c r="B7" s="44"/>
      <c r="C7" s="44"/>
      <c r="D7" s="46" t="s">
        <v>51</v>
      </c>
      <c r="E7" s="44"/>
      <c r="F7" s="47" t="s">
        <v>50</v>
      </c>
      <c r="G7" s="44"/>
      <c r="H7" s="44"/>
      <c r="I7" s="44"/>
      <c r="J7" s="44"/>
      <c r="K7" s="47"/>
      <c r="L7" s="47"/>
      <c r="M7" s="44"/>
      <c r="N7" s="44"/>
      <c r="O7" s="44"/>
      <c r="P7" s="44"/>
      <c r="Q7" s="44"/>
      <c r="R7" s="44"/>
    </row>
    <row r="8" spans="1:19" x14ac:dyDescent="0.25">
      <c r="A8" s="44"/>
      <c r="B8" s="44"/>
      <c r="C8" s="44"/>
      <c r="D8" s="80"/>
      <c r="E8" s="81"/>
      <c r="F8" s="81"/>
      <c r="G8" s="122" t="s">
        <v>159</v>
      </c>
      <c r="H8" s="81"/>
      <c r="I8" s="81"/>
      <c r="J8" s="81"/>
      <c r="K8" s="85"/>
      <c r="L8" s="80"/>
      <c r="M8" s="81"/>
      <c r="N8" s="122" t="s">
        <v>160</v>
      </c>
      <c r="O8" s="81"/>
      <c r="P8" s="81"/>
      <c r="Q8" s="81"/>
      <c r="R8" s="81"/>
      <c r="S8" s="98"/>
    </row>
    <row r="9" spans="1:19" x14ac:dyDescent="0.25">
      <c r="A9" s="44"/>
      <c r="B9" s="44"/>
      <c r="C9" s="44"/>
      <c r="D9" s="123" t="s">
        <v>52</v>
      </c>
      <c r="E9" s="124" t="s">
        <v>53</v>
      </c>
      <c r="F9" s="125" t="s">
        <v>54</v>
      </c>
      <c r="G9" s="126" t="s">
        <v>55</v>
      </c>
      <c r="H9" s="127" t="s">
        <v>56</v>
      </c>
      <c r="I9" s="77" t="s">
        <v>143</v>
      </c>
      <c r="J9" s="77" t="s">
        <v>150</v>
      </c>
      <c r="K9" s="77" t="s">
        <v>161</v>
      </c>
      <c r="L9" s="128">
        <v>2021</v>
      </c>
      <c r="M9" s="129">
        <v>2022</v>
      </c>
      <c r="N9" s="128">
        <v>2023</v>
      </c>
      <c r="O9" s="128">
        <v>2024</v>
      </c>
      <c r="P9" s="128">
        <v>2025</v>
      </c>
      <c r="Q9" s="130">
        <v>2026</v>
      </c>
      <c r="R9" s="130">
        <v>2027</v>
      </c>
      <c r="S9" s="86"/>
    </row>
    <row r="10" spans="1:19" x14ac:dyDescent="0.25">
      <c r="A10" s="44"/>
      <c r="B10" s="44"/>
      <c r="C10" s="48" t="s">
        <v>57</v>
      </c>
      <c r="D10" s="49">
        <v>648</v>
      </c>
      <c r="E10" s="76">
        <v>324</v>
      </c>
      <c r="F10" s="76">
        <v>0</v>
      </c>
      <c r="G10" s="75"/>
      <c r="H10" s="78"/>
      <c r="I10" s="50"/>
      <c r="J10" s="92"/>
      <c r="K10" s="93"/>
      <c r="L10" s="76"/>
      <c r="M10" s="51"/>
      <c r="N10" s="76"/>
      <c r="O10" s="76"/>
      <c r="P10" s="75"/>
      <c r="Q10" s="131"/>
      <c r="R10" s="75"/>
      <c r="S10" s="44"/>
    </row>
    <row r="11" spans="1:19" x14ac:dyDescent="0.25">
      <c r="A11" s="44"/>
      <c r="B11" s="44"/>
      <c r="C11" s="48" t="s">
        <v>58</v>
      </c>
      <c r="D11" s="49">
        <v>296</v>
      </c>
      <c r="E11" s="76">
        <v>148</v>
      </c>
      <c r="F11" s="76">
        <v>0</v>
      </c>
      <c r="G11" s="76"/>
      <c r="H11" s="51"/>
      <c r="I11" s="50"/>
      <c r="J11" s="93"/>
      <c r="K11" s="93"/>
      <c r="L11" s="76"/>
      <c r="M11" s="51"/>
      <c r="N11" s="76"/>
      <c r="O11" s="76"/>
      <c r="P11" s="76"/>
      <c r="Q11" s="49"/>
      <c r="R11" s="76"/>
      <c r="S11" s="44"/>
    </row>
    <row r="12" spans="1:19" x14ac:dyDescent="0.25">
      <c r="A12" s="44"/>
      <c r="B12" s="44"/>
      <c r="C12" s="48" t="s">
        <v>59</v>
      </c>
      <c r="D12" s="49">
        <v>494</v>
      </c>
      <c r="E12" s="76">
        <v>0</v>
      </c>
      <c r="F12" s="76"/>
      <c r="G12" s="76"/>
      <c r="H12" s="51"/>
      <c r="I12" s="50"/>
      <c r="J12" s="93"/>
      <c r="K12" s="93"/>
      <c r="L12" s="76"/>
      <c r="M12" s="51"/>
      <c r="N12" s="76"/>
      <c r="O12" s="76"/>
      <c r="P12" s="76"/>
      <c r="Q12" s="49"/>
      <c r="R12" s="76"/>
      <c r="S12" s="44"/>
    </row>
    <row r="13" spans="1:19" x14ac:dyDescent="0.25">
      <c r="A13" s="44"/>
      <c r="B13" s="44"/>
      <c r="C13" s="48" t="s">
        <v>60</v>
      </c>
      <c r="D13" s="49">
        <v>308.7</v>
      </c>
      <c r="E13" s="76">
        <v>200</v>
      </c>
      <c r="F13" s="76">
        <v>100</v>
      </c>
      <c r="G13" s="76">
        <f>+F13-L13</f>
        <v>0</v>
      </c>
      <c r="H13" s="51"/>
      <c r="I13" s="50"/>
      <c r="J13" s="93"/>
      <c r="K13" s="93"/>
      <c r="L13" s="76">
        <v>100</v>
      </c>
      <c r="M13" s="51"/>
      <c r="N13" s="76"/>
      <c r="O13" s="76"/>
      <c r="P13" s="76"/>
      <c r="Q13" s="49"/>
      <c r="R13" s="76"/>
      <c r="S13" s="44"/>
    </row>
    <row r="14" spans="1:19" x14ac:dyDescent="0.25">
      <c r="A14" s="44"/>
      <c r="B14" s="44"/>
      <c r="C14" s="48" t="s">
        <v>61</v>
      </c>
      <c r="D14" s="49"/>
      <c r="E14" s="76"/>
      <c r="F14" s="76">
        <f>1412.07-152.07</f>
        <v>1260</v>
      </c>
      <c r="G14" s="76">
        <f>+F14-L14</f>
        <v>980</v>
      </c>
      <c r="H14" s="51">
        <f>+G14-M14</f>
        <v>700</v>
      </c>
      <c r="I14" s="50">
        <f>+H14-O14</f>
        <v>420</v>
      </c>
      <c r="J14" s="93">
        <f>+I14-O14</f>
        <v>140</v>
      </c>
      <c r="K14" s="93">
        <v>0</v>
      </c>
      <c r="L14" s="76">
        <v>280</v>
      </c>
      <c r="M14" s="51">
        <v>280</v>
      </c>
      <c r="N14" s="76">
        <v>280</v>
      </c>
      <c r="O14" s="76">
        <v>280</v>
      </c>
      <c r="P14" s="76">
        <v>140</v>
      </c>
      <c r="Q14" s="49"/>
      <c r="R14" s="76"/>
      <c r="S14" s="44"/>
    </row>
    <row r="15" spans="1:19" x14ac:dyDescent="0.25">
      <c r="A15" s="44"/>
      <c r="B15" s="44"/>
      <c r="C15" s="48" t="s">
        <v>62</v>
      </c>
      <c r="D15" s="49"/>
      <c r="E15" s="76"/>
      <c r="F15" s="76"/>
      <c r="G15" s="76">
        <f>523.92-L15</f>
        <v>399.99999999999994</v>
      </c>
      <c r="H15" s="51">
        <f>+G15-M15</f>
        <v>299.99999999999994</v>
      </c>
      <c r="I15" s="50">
        <f>+H15-O15</f>
        <v>199.99999999999994</v>
      </c>
      <c r="J15" s="93">
        <f>+I15-O15</f>
        <v>99.999999999999943</v>
      </c>
      <c r="K15" s="93">
        <v>0</v>
      </c>
      <c r="L15" s="76">
        <v>123.92</v>
      </c>
      <c r="M15" s="51">
        <v>100</v>
      </c>
      <c r="N15" s="76">
        <v>100</v>
      </c>
      <c r="O15" s="76">
        <v>100</v>
      </c>
      <c r="P15" s="76">
        <v>100</v>
      </c>
      <c r="Q15" s="49"/>
      <c r="R15" s="76"/>
      <c r="S15" s="44"/>
    </row>
    <row r="16" spans="1:19" x14ac:dyDescent="0.25">
      <c r="A16" s="44"/>
      <c r="B16" s="44"/>
      <c r="C16" s="48" t="s">
        <v>63</v>
      </c>
      <c r="D16" s="49"/>
      <c r="E16" s="76"/>
      <c r="F16" s="76"/>
      <c r="G16" s="76">
        <f>1528.22-L16</f>
        <v>1200</v>
      </c>
      <c r="H16" s="51">
        <f>+G16-M16</f>
        <v>900</v>
      </c>
      <c r="I16" s="50">
        <f>+H16-O16</f>
        <v>600</v>
      </c>
      <c r="J16" s="93">
        <f>+I16-O16</f>
        <v>300</v>
      </c>
      <c r="K16" s="93">
        <v>0</v>
      </c>
      <c r="L16" s="76">
        <v>328.22</v>
      </c>
      <c r="M16" s="51">
        <v>300</v>
      </c>
      <c r="N16" s="76">
        <v>300</v>
      </c>
      <c r="O16" s="76">
        <v>300</v>
      </c>
      <c r="P16" s="76">
        <v>300</v>
      </c>
      <c r="Q16" s="49"/>
      <c r="R16" s="76"/>
      <c r="S16" s="44"/>
    </row>
    <row r="17" spans="1:19" x14ac:dyDescent="0.25">
      <c r="A17" s="44"/>
      <c r="B17" s="44"/>
      <c r="C17" s="48" t="s">
        <v>142</v>
      </c>
      <c r="D17" s="49"/>
      <c r="E17" s="76"/>
      <c r="F17" s="76"/>
      <c r="G17" s="76"/>
      <c r="H17" s="51"/>
      <c r="I17" s="50">
        <v>400</v>
      </c>
      <c r="J17" s="93">
        <f>+I17-O17</f>
        <v>200</v>
      </c>
      <c r="K17" s="93">
        <v>0</v>
      </c>
      <c r="L17" s="76"/>
      <c r="M17" s="51"/>
      <c r="N17" s="76">
        <v>199</v>
      </c>
      <c r="O17" s="76">
        <v>200</v>
      </c>
      <c r="P17" s="76">
        <v>200</v>
      </c>
      <c r="Q17" s="49"/>
      <c r="R17" s="76"/>
      <c r="S17" s="44"/>
    </row>
    <row r="18" spans="1:19" x14ac:dyDescent="0.25">
      <c r="A18" s="44"/>
      <c r="B18" s="44"/>
      <c r="C18" s="48" t="s">
        <v>151</v>
      </c>
      <c r="D18" s="49"/>
      <c r="E18" s="76"/>
      <c r="F18" s="76"/>
      <c r="G18" s="49"/>
      <c r="H18" s="76"/>
      <c r="I18" s="50"/>
      <c r="J18" s="93">
        <v>849</v>
      </c>
      <c r="K18" s="93">
        <v>566</v>
      </c>
      <c r="L18" s="76"/>
      <c r="M18" s="51"/>
      <c r="N18" s="76"/>
      <c r="O18" s="76"/>
      <c r="P18" s="76">
        <v>283</v>
      </c>
      <c r="Q18" s="49">
        <v>283</v>
      </c>
      <c r="R18" s="76">
        <v>283</v>
      </c>
      <c r="S18" s="44"/>
    </row>
    <row r="19" spans="1:19" x14ac:dyDescent="0.25">
      <c r="A19" s="44"/>
      <c r="B19" s="44"/>
      <c r="C19" s="48"/>
      <c r="D19" s="49"/>
      <c r="E19" s="76"/>
      <c r="F19" s="76"/>
      <c r="G19" s="76"/>
      <c r="H19" s="79"/>
      <c r="I19" s="50"/>
      <c r="J19" s="94"/>
      <c r="K19" s="93"/>
      <c r="L19" s="76"/>
      <c r="M19" s="51"/>
      <c r="N19" s="76"/>
      <c r="O19" s="76"/>
      <c r="P19" s="132"/>
      <c r="Q19" s="99"/>
      <c r="R19" s="132"/>
      <c r="S19" s="44"/>
    </row>
    <row r="20" spans="1:19" x14ac:dyDescent="0.25">
      <c r="A20" s="44"/>
      <c r="B20" s="44"/>
      <c r="C20" s="44"/>
      <c r="D20" s="52">
        <f>SUM(D10:D18)</f>
        <v>1746.7</v>
      </c>
      <c r="E20" s="52">
        <f t="shared" ref="E20:Q20" si="0">SUM(E10:E18)</f>
        <v>672</v>
      </c>
      <c r="F20" s="52">
        <f t="shared" si="0"/>
        <v>1360</v>
      </c>
      <c r="G20" s="52">
        <f t="shared" si="0"/>
        <v>2580</v>
      </c>
      <c r="H20" s="52">
        <f t="shared" si="0"/>
        <v>1900</v>
      </c>
      <c r="I20" s="52">
        <f t="shared" si="0"/>
        <v>1620</v>
      </c>
      <c r="J20" s="52">
        <f t="shared" si="0"/>
        <v>1589</v>
      </c>
      <c r="K20" s="215">
        <f>SUM(K10:K19)</f>
        <v>566</v>
      </c>
      <c r="L20" s="52">
        <f t="shared" si="0"/>
        <v>832.1400000000001</v>
      </c>
      <c r="M20" s="52">
        <f t="shared" si="0"/>
        <v>680</v>
      </c>
      <c r="N20" s="52">
        <f t="shared" si="0"/>
        <v>879</v>
      </c>
      <c r="O20" s="52">
        <f t="shared" si="0"/>
        <v>880</v>
      </c>
      <c r="P20" s="215">
        <f t="shared" si="0"/>
        <v>1023</v>
      </c>
      <c r="Q20" s="52">
        <f t="shared" si="0"/>
        <v>283</v>
      </c>
      <c r="R20" s="133"/>
      <c r="S20" s="44"/>
    </row>
    <row r="21" spans="1:19" x14ac:dyDescent="0.25">
      <c r="A21" s="44"/>
      <c r="B21" s="44"/>
      <c r="C21" s="44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44"/>
      <c r="Q21" s="44"/>
      <c r="R21" s="44"/>
    </row>
    <row r="22" spans="1:19" x14ac:dyDescent="0.25">
      <c r="A22" s="44"/>
      <c r="B22" s="44"/>
      <c r="C22" s="48" t="s">
        <v>57</v>
      </c>
      <c r="D22" s="53" t="s">
        <v>64</v>
      </c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</row>
    <row r="23" spans="1:19" x14ac:dyDescent="0.25">
      <c r="A23" s="44"/>
      <c r="B23" s="44"/>
      <c r="C23" s="48" t="s">
        <v>58</v>
      </c>
      <c r="D23" s="53" t="s">
        <v>65</v>
      </c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</row>
    <row r="24" spans="1:19" x14ac:dyDescent="0.25">
      <c r="A24" s="44"/>
      <c r="B24" s="44"/>
      <c r="C24" s="48" t="s">
        <v>59</v>
      </c>
      <c r="D24" s="53" t="s">
        <v>66</v>
      </c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</row>
    <row r="25" spans="1:19" x14ac:dyDescent="0.25">
      <c r="A25" s="44"/>
      <c r="B25" s="44"/>
      <c r="C25" s="48" t="s">
        <v>60</v>
      </c>
      <c r="D25" s="53" t="s">
        <v>67</v>
      </c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50"/>
      <c r="R25" s="44"/>
    </row>
    <row r="26" spans="1:19" x14ac:dyDescent="0.25">
      <c r="A26" s="44"/>
      <c r="B26" s="44"/>
      <c r="C26" s="48" t="s">
        <v>61</v>
      </c>
      <c r="D26" s="53" t="s">
        <v>68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</row>
    <row r="27" spans="1:19" x14ac:dyDescent="0.25">
      <c r="A27" s="44"/>
      <c r="B27" s="44"/>
      <c r="C27" s="48" t="s">
        <v>62</v>
      </c>
      <c r="D27" s="53" t="s">
        <v>69</v>
      </c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</row>
    <row r="28" spans="1:19" x14ac:dyDescent="0.25">
      <c r="A28" s="44"/>
      <c r="B28" s="44"/>
      <c r="C28" s="48" t="s">
        <v>63</v>
      </c>
      <c r="D28" s="53" t="s">
        <v>70</v>
      </c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 spans="1:19" x14ac:dyDescent="0.25">
      <c r="A29" s="44"/>
      <c r="B29" s="44"/>
      <c r="C29" s="48" t="s">
        <v>142</v>
      </c>
      <c r="D29" s="50" t="s">
        <v>144</v>
      </c>
      <c r="E29" s="50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</row>
    <row r="30" spans="1:19" x14ac:dyDescent="0.25">
      <c r="A30" s="90"/>
      <c r="B30" s="90"/>
      <c r="C30" s="95" t="s">
        <v>151</v>
      </c>
      <c r="D30" s="89" t="s">
        <v>153</v>
      </c>
      <c r="E30" s="89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1"/>
    </row>
    <row r="31" spans="1:19" x14ac:dyDescent="0.25">
      <c r="A31" s="44"/>
      <c r="B31" s="44"/>
      <c r="C31" s="44"/>
      <c r="D31" s="50"/>
      <c r="E31" s="50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</row>
    <row r="32" spans="1:19" x14ac:dyDescent="0.25">
      <c r="A32" s="44"/>
      <c r="B32" s="44"/>
      <c r="C32" s="44" t="s">
        <v>71</v>
      </c>
      <c r="D32" s="54" t="s">
        <v>72</v>
      </c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</row>
    <row r="33" spans="1:19" x14ac:dyDescent="0.25">
      <c r="A33" s="44"/>
      <c r="B33" s="44"/>
      <c r="C33" s="44"/>
      <c r="D33" s="54" t="s">
        <v>73</v>
      </c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</row>
    <row r="34" spans="1:19" x14ac:dyDescent="0.25">
      <c r="A34" s="44"/>
      <c r="B34" s="44"/>
      <c r="C34" s="44"/>
      <c r="D34" s="54" t="s">
        <v>264</v>
      </c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</row>
    <row r="35" spans="1:19" x14ac:dyDescent="0.2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</row>
    <row r="36" spans="1:19" x14ac:dyDescent="0.25">
      <c r="A36" s="44"/>
      <c r="B36" s="44"/>
      <c r="C36" s="54" t="s">
        <v>74</v>
      </c>
      <c r="D36" s="44"/>
      <c r="E36" s="44"/>
      <c r="F36" s="44"/>
      <c r="G36" s="44"/>
      <c r="H36" s="44"/>
      <c r="I36" s="44"/>
      <c r="J36" s="44"/>
      <c r="K36" s="55"/>
      <c r="L36" s="55"/>
      <c r="M36" s="55"/>
      <c r="N36" s="44"/>
      <c r="O36" s="44"/>
      <c r="P36" s="44"/>
      <c r="Q36" s="44"/>
      <c r="R36" s="44"/>
    </row>
    <row r="37" spans="1:19" x14ac:dyDescent="0.25">
      <c r="A37" s="44"/>
      <c r="B37" s="44"/>
      <c r="C37" s="54" t="s">
        <v>75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</row>
    <row r="38" spans="1:19" x14ac:dyDescent="0.25">
      <c r="A38" s="44"/>
      <c r="B38" s="44"/>
      <c r="C38" s="56" t="s">
        <v>76</v>
      </c>
      <c r="D38" s="44"/>
      <c r="E38" s="44"/>
      <c r="F38" s="44"/>
      <c r="G38" s="44"/>
      <c r="H38" s="44"/>
      <c r="I38" s="44"/>
      <c r="J38" s="44"/>
      <c r="K38" s="44"/>
      <c r="L38" s="57"/>
      <c r="M38" s="57"/>
      <c r="N38" s="57"/>
      <c r="O38" s="57"/>
      <c r="P38" s="44"/>
      <c r="Q38" s="44"/>
      <c r="R38" s="44"/>
    </row>
    <row r="39" spans="1:19" x14ac:dyDescent="0.25">
      <c r="A39" s="44"/>
      <c r="B39" s="44"/>
      <c r="C39" s="54" t="s">
        <v>77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</row>
    <row r="40" spans="1:19" x14ac:dyDescent="0.25">
      <c r="A40" s="44"/>
      <c r="B40" s="44"/>
      <c r="C40" s="44" t="s">
        <v>78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</row>
    <row r="41" spans="1:19" x14ac:dyDescent="0.25">
      <c r="A41" s="44"/>
      <c r="B41" s="44"/>
      <c r="C41" s="44"/>
      <c r="D41" s="44" t="s">
        <v>79</v>
      </c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</row>
    <row r="42" spans="1:19" x14ac:dyDescent="0.25">
      <c r="A42" s="44"/>
      <c r="B42" s="44"/>
      <c r="C42" s="44" t="s">
        <v>62</v>
      </c>
      <c r="D42" s="44" t="s">
        <v>80</v>
      </c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</row>
    <row r="43" spans="1:19" x14ac:dyDescent="0.25">
      <c r="A43" s="44"/>
      <c r="B43" s="44"/>
      <c r="C43" s="44" t="s">
        <v>63</v>
      </c>
      <c r="D43" s="58" t="s">
        <v>81</v>
      </c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</row>
    <row r="44" spans="1:19" x14ac:dyDescent="0.25">
      <c r="A44" s="44"/>
      <c r="B44" s="44"/>
      <c r="C44" s="44" t="s">
        <v>142</v>
      </c>
      <c r="D44" s="58" t="s">
        <v>145</v>
      </c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</row>
    <row r="45" spans="1:19" x14ac:dyDescent="0.25">
      <c r="A45" s="90"/>
      <c r="B45" s="90"/>
      <c r="C45" s="90" t="s">
        <v>152</v>
      </c>
      <c r="D45" s="96" t="s">
        <v>265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1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858CD-0D2A-4405-B3DC-5BADF39024F5}">
  <sheetPr>
    <pageSetUpPr fitToPage="1"/>
  </sheetPr>
  <dimension ref="A1:T62"/>
  <sheetViews>
    <sheetView topLeftCell="A49" workbookViewId="0">
      <selection activeCell="C29" sqref="C28:C29"/>
    </sheetView>
  </sheetViews>
  <sheetFormatPr defaultRowHeight="15" x14ac:dyDescent="0.25"/>
  <cols>
    <col min="1" max="1" width="52.5703125" customWidth="1"/>
    <col min="15" max="15" width="6.7109375" customWidth="1"/>
    <col min="16" max="16" width="5.85546875" customWidth="1"/>
  </cols>
  <sheetData>
    <row r="1" spans="1:20" ht="21" x14ac:dyDescent="0.35">
      <c r="A1" s="134" t="s">
        <v>254</v>
      </c>
    </row>
    <row r="2" spans="1:20" ht="31.5" x14ac:dyDescent="0.5">
      <c r="A2" s="62" t="s">
        <v>259</v>
      </c>
      <c r="M2" s="211"/>
      <c r="N2" s="150"/>
    </row>
    <row r="3" spans="1:20" ht="15.75" thickBot="1" x14ac:dyDescent="0.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20" ht="15.75" thickBot="1" x14ac:dyDescent="0.3">
      <c r="A4" s="82"/>
      <c r="B4" s="266" t="s">
        <v>82</v>
      </c>
      <c r="C4" s="264"/>
      <c r="D4" s="265"/>
      <c r="E4" s="267" t="s">
        <v>2</v>
      </c>
      <c r="F4" s="268"/>
      <c r="G4" s="268"/>
      <c r="H4" s="138"/>
      <c r="I4" s="267" t="s">
        <v>3</v>
      </c>
      <c r="J4" s="268"/>
      <c r="K4" s="268"/>
      <c r="L4" s="139"/>
      <c r="M4" s="269" t="s">
        <v>4</v>
      </c>
      <c r="N4" s="269"/>
      <c r="O4" s="269"/>
      <c r="P4" s="270"/>
      <c r="Q4" s="271" t="s">
        <v>5</v>
      </c>
      <c r="R4" s="269"/>
      <c r="S4" s="135"/>
      <c r="T4" s="1"/>
    </row>
    <row r="5" spans="1:20" ht="15.75" thickBot="1" x14ac:dyDescent="0.3">
      <c r="A5" s="187" t="s">
        <v>163</v>
      </c>
      <c r="B5" s="141">
        <v>1298</v>
      </c>
      <c r="C5" s="219">
        <v>1303</v>
      </c>
      <c r="D5" s="219">
        <v>1304</v>
      </c>
      <c r="E5" s="219">
        <v>1298</v>
      </c>
      <c r="F5" s="219">
        <v>1301</v>
      </c>
      <c r="G5" s="219">
        <v>1304</v>
      </c>
      <c r="H5" s="219">
        <v>4004</v>
      </c>
      <c r="I5" s="219">
        <v>1298</v>
      </c>
      <c r="J5" s="219">
        <v>1301</v>
      </c>
      <c r="K5" s="219">
        <v>1304</v>
      </c>
      <c r="L5" s="219">
        <v>4004</v>
      </c>
      <c r="M5" s="219">
        <v>1298</v>
      </c>
      <c r="N5" s="219">
        <v>1302</v>
      </c>
      <c r="O5" s="219">
        <v>1303</v>
      </c>
      <c r="P5" s="219">
        <v>1304</v>
      </c>
      <c r="Q5" s="219">
        <v>1298</v>
      </c>
      <c r="R5" s="219">
        <v>1304</v>
      </c>
      <c r="S5" s="136"/>
      <c r="T5" s="105"/>
    </row>
    <row r="6" spans="1:20" x14ac:dyDescent="0.25">
      <c r="A6" s="196"/>
      <c r="B6" s="19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"/>
    </row>
    <row r="7" spans="1:20" x14ac:dyDescent="0.25">
      <c r="A7" s="197" t="s">
        <v>175</v>
      </c>
      <c r="B7" s="200"/>
      <c r="C7" s="189"/>
      <c r="D7" s="189"/>
      <c r="E7" s="189">
        <v>150</v>
      </c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"/>
    </row>
    <row r="8" spans="1:20" x14ac:dyDescent="0.25">
      <c r="A8" s="197" t="s">
        <v>176</v>
      </c>
      <c r="B8" s="72"/>
      <c r="C8" s="189"/>
      <c r="D8" s="189"/>
      <c r="E8" s="189"/>
      <c r="F8" s="189"/>
      <c r="G8" s="189"/>
      <c r="H8" s="189"/>
      <c r="I8" s="189">
        <v>213.6</v>
      </c>
      <c r="J8" s="189"/>
      <c r="K8" s="189"/>
      <c r="L8" s="189"/>
      <c r="M8" s="189"/>
      <c r="N8" s="189"/>
      <c r="O8" s="189"/>
      <c r="P8" s="189"/>
      <c r="Q8" s="189"/>
      <c r="R8" s="189"/>
      <c r="S8" s="189"/>
    </row>
    <row r="9" spans="1:20" x14ac:dyDescent="0.25">
      <c r="A9" s="197" t="s">
        <v>177</v>
      </c>
      <c r="B9" s="72"/>
      <c r="C9" s="189"/>
      <c r="D9" s="189"/>
      <c r="E9" s="189"/>
      <c r="F9" s="189"/>
      <c r="G9" s="189"/>
      <c r="H9" s="189"/>
      <c r="I9" s="189">
        <v>73.2</v>
      </c>
      <c r="J9" s="189"/>
      <c r="K9" s="189"/>
      <c r="L9" s="189"/>
      <c r="M9" s="189"/>
      <c r="N9" s="189"/>
      <c r="O9" s="189"/>
      <c r="P9" s="189"/>
      <c r="Q9" s="189"/>
      <c r="R9" s="189"/>
      <c r="S9" s="189"/>
    </row>
    <row r="10" spans="1:20" x14ac:dyDescent="0.25">
      <c r="A10" s="59" t="s">
        <v>241</v>
      </c>
      <c r="B10" s="197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>
        <v>52.45</v>
      </c>
      <c r="R10" s="189"/>
      <c r="S10" s="189"/>
    </row>
    <row r="11" spans="1:20" x14ac:dyDescent="0.25">
      <c r="A11" s="59" t="s">
        <v>242</v>
      </c>
      <c r="B11" s="197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>
        <v>36.6</v>
      </c>
      <c r="R11" s="189"/>
      <c r="S11" s="189"/>
    </row>
    <row r="12" spans="1:20" x14ac:dyDescent="0.25">
      <c r="A12" s="59" t="s">
        <v>243</v>
      </c>
      <c r="B12" s="197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>
        <v>94.5</v>
      </c>
      <c r="R12" s="189"/>
      <c r="S12" s="189"/>
    </row>
    <row r="13" spans="1:20" x14ac:dyDescent="0.25">
      <c r="A13" s="59" t="s">
        <v>244</v>
      </c>
      <c r="B13" s="197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>
        <v>33</v>
      </c>
      <c r="R13" s="189"/>
      <c r="S13" s="189"/>
    </row>
    <row r="14" spans="1:20" x14ac:dyDescent="0.25">
      <c r="A14" s="59" t="s">
        <v>245</v>
      </c>
      <c r="B14" s="197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>
        <v>-117.7</v>
      </c>
      <c r="R14" s="189"/>
      <c r="S14" s="189"/>
    </row>
    <row r="15" spans="1:20" x14ac:dyDescent="0.25">
      <c r="A15" s="189" t="s">
        <v>169</v>
      </c>
      <c r="B15" s="192"/>
      <c r="C15" s="189"/>
      <c r="D15" s="189"/>
      <c r="E15" s="189"/>
      <c r="F15" s="189">
        <v>10</v>
      </c>
      <c r="G15" s="189"/>
      <c r="H15" s="189"/>
      <c r="I15" s="189"/>
      <c r="J15" s="189"/>
      <c r="K15" s="189"/>
      <c r="L15" s="189" t="s">
        <v>128</v>
      </c>
      <c r="M15" s="189"/>
      <c r="N15" s="189"/>
      <c r="O15" s="189"/>
      <c r="P15" s="189"/>
      <c r="Q15" s="189"/>
      <c r="R15" s="189"/>
      <c r="S15" s="189"/>
    </row>
    <row r="16" spans="1:20" x14ac:dyDescent="0.25">
      <c r="A16" s="189" t="s">
        <v>170</v>
      </c>
      <c r="B16" s="51"/>
      <c r="C16" s="189"/>
      <c r="D16" s="189"/>
      <c r="E16" s="189"/>
      <c r="F16" s="189">
        <v>332.5</v>
      </c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</row>
    <row r="17" spans="1:20" x14ac:dyDescent="0.25">
      <c r="A17" s="189" t="s">
        <v>171</v>
      </c>
      <c r="B17" s="51"/>
      <c r="C17" s="189"/>
      <c r="D17" s="189"/>
      <c r="E17" s="189"/>
      <c r="F17" s="189">
        <v>315</v>
      </c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</row>
    <row r="18" spans="1:20" x14ac:dyDescent="0.25">
      <c r="A18" s="197"/>
      <c r="B18" s="72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</row>
    <row r="19" spans="1:20" ht="15.75" thickBot="1" x14ac:dyDescent="0.3">
      <c r="A19" s="198" t="s">
        <v>164</v>
      </c>
      <c r="B19" s="144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</row>
    <row r="20" spans="1:20" ht="16.5" thickBot="1" x14ac:dyDescent="0.3">
      <c r="A20" s="193" t="s">
        <v>162</v>
      </c>
      <c r="B20" s="132">
        <f t="shared" ref="B20:R20" si="0">SUM(B6:B19)</f>
        <v>0</v>
      </c>
      <c r="C20" s="132">
        <f t="shared" si="0"/>
        <v>0</v>
      </c>
      <c r="D20" s="132">
        <f t="shared" si="0"/>
        <v>0</v>
      </c>
      <c r="E20" s="190">
        <f t="shared" si="0"/>
        <v>150</v>
      </c>
      <c r="F20" s="132">
        <f t="shared" si="0"/>
        <v>657.5</v>
      </c>
      <c r="G20" s="132">
        <f t="shared" si="0"/>
        <v>0</v>
      </c>
      <c r="H20" s="132">
        <f t="shared" si="0"/>
        <v>0</v>
      </c>
      <c r="I20" s="190">
        <f t="shared" si="0"/>
        <v>286.8</v>
      </c>
      <c r="J20" s="132">
        <f t="shared" si="0"/>
        <v>0</v>
      </c>
      <c r="K20" s="132">
        <f t="shared" si="0"/>
        <v>0</v>
      </c>
      <c r="L20" s="132">
        <f t="shared" si="0"/>
        <v>0</v>
      </c>
      <c r="M20" s="190">
        <f t="shared" si="0"/>
        <v>0</v>
      </c>
      <c r="N20" s="132">
        <f t="shared" si="0"/>
        <v>0</v>
      </c>
      <c r="O20" s="132">
        <f t="shared" si="0"/>
        <v>0</v>
      </c>
      <c r="P20" s="132">
        <f t="shared" si="0"/>
        <v>0</v>
      </c>
      <c r="Q20" s="190">
        <f t="shared" si="0"/>
        <v>98.850000000000009</v>
      </c>
      <c r="R20" s="132">
        <f t="shared" si="0"/>
        <v>0</v>
      </c>
      <c r="S20" s="201">
        <f>SUM(B20:R20)</f>
        <v>1193.1499999999999</v>
      </c>
    </row>
    <row r="21" spans="1:20" ht="15.75" thickBot="1" x14ac:dyDescent="0.3">
      <c r="A21" s="194"/>
      <c r="B21" s="264" t="s">
        <v>82</v>
      </c>
      <c r="C21" s="264"/>
      <c r="D21" s="265"/>
      <c r="E21" s="266" t="s">
        <v>2</v>
      </c>
      <c r="F21" s="264"/>
      <c r="G21" s="264"/>
      <c r="H21" s="184"/>
      <c r="I21" s="266" t="s">
        <v>3</v>
      </c>
      <c r="J21" s="264"/>
      <c r="K21" s="265"/>
      <c r="L21" s="180"/>
      <c r="M21" s="266" t="s">
        <v>4</v>
      </c>
      <c r="N21" s="264"/>
      <c r="O21" s="264"/>
      <c r="P21" s="265"/>
      <c r="Q21" s="266" t="s">
        <v>5</v>
      </c>
      <c r="R21" s="264"/>
      <c r="S21" s="16"/>
    </row>
    <row r="22" spans="1:20" ht="15.75" thickBot="1" x14ac:dyDescent="0.3">
      <c r="A22" s="195"/>
      <c r="B22" s="185">
        <v>1298</v>
      </c>
      <c r="C22" s="182">
        <v>1303</v>
      </c>
      <c r="D22" s="183">
        <v>1304</v>
      </c>
      <c r="E22" s="181">
        <v>1298</v>
      </c>
      <c r="F22" s="182">
        <v>1301</v>
      </c>
      <c r="G22" s="182">
        <v>1304</v>
      </c>
      <c r="H22" s="183">
        <v>4004</v>
      </c>
      <c r="I22" s="185">
        <v>1298</v>
      </c>
      <c r="J22" s="182">
        <v>1301</v>
      </c>
      <c r="K22" s="182">
        <v>1304</v>
      </c>
      <c r="L22" s="182">
        <v>4004</v>
      </c>
      <c r="M22" s="182">
        <v>1298</v>
      </c>
      <c r="N22" s="182">
        <v>1302</v>
      </c>
      <c r="O22" s="182">
        <v>1303</v>
      </c>
      <c r="P22" s="182">
        <v>1304</v>
      </c>
      <c r="Q22" s="182">
        <v>1298</v>
      </c>
      <c r="R22" s="182">
        <v>1304</v>
      </c>
      <c r="S22" s="142"/>
    </row>
    <row r="23" spans="1:20" x14ac:dyDescent="0.25">
      <c r="A23" s="188" t="s">
        <v>235</v>
      </c>
      <c r="B23" s="186">
        <v>117.7</v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98"/>
    </row>
    <row r="24" spans="1:20" x14ac:dyDescent="0.25">
      <c r="A24" s="189" t="s">
        <v>236</v>
      </c>
      <c r="B24" s="186">
        <v>49.2</v>
      </c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98"/>
    </row>
    <row r="25" spans="1:20" x14ac:dyDescent="0.25">
      <c r="A25" s="189" t="s">
        <v>237</v>
      </c>
      <c r="B25" s="186">
        <v>274.8</v>
      </c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98"/>
    </row>
    <row r="26" spans="1:20" x14ac:dyDescent="0.25">
      <c r="A26" s="189" t="s">
        <v>238</v>
      </c>
      <c r="B26" s="186">
        <v>-216.55</v>
      </c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98"/>
    </row>
    <row r="27" spans="1:20" x14ac:dyDescent="0.25">
      <c r="A27" s="189" t="s">
        <v>239</v>
      </c>
      <c r="B27" s="186">
        <v>-150</v>
      </c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98"/>
    </row>
    <row r="28" spans="1:20" x14ac:dyDescent="0.25">
      <c r="A28" s="189" t="s">
        <v>240</v>
      </c>
      <c r="B28" s="186">
        <v>-213.6</v>
      </c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98"/>
    </row>
    <row r="29" spans="1:20" x14ac:dyDescent="0.25">
      <c r="A29" s="189" t="s">
        <v>177</v>
      </c>
      <c r="B29" s="186">
        <v>-73.2</v>
      </c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98"/>
    </row>
    <row r="30" spans="1:20" x14ac:dyDescent="0.25">
      <c r="A30" s="189" t="s">
        <v>266</v>
      </c>
      <c r="B30" s="51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>
        <v>-49.2</v>
      </c>
      <c r="N30" s="189"/>
      <c r="O30" s="189"/>
      <c r="P30" s="189"/>
      <c r="Q30" s="189"/>
      <c r="R30" s="189"/>
      <c r="S30" s="189"/>
      <c r="T30" s="98"/>
    </row>
    <row r="31" spans="1:20" x14ac:dyDescent="0.25">
      <c r="A31" s="189" t="s">
        <v>165</v>
      </c>
      <c r="B31" s="17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>
        <v>-274.8</v>
      </c>
      <c r="N31" s="189"/>
      <c r="O31" s="189"/>
      <c r="P31" s="189"/>
      <c r="Q31" s="189"/>
      <c r="R31" s="189"/>
      <c r="S31" s="189"/>
      <c r="T31" s="98"/>
    </row>
    <row r="32" spans="1:20" x14ac:dyDescent="0.25">
      <c r="A32" s="191" t="s">
        <v>166</v>
      </c>
      <c r="B32" s="51"/>
      <c r="C32" s="189"/>
      <c r="D32" s="189">
        <v>60</v>
      </c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98"/>
    </row>
    <row r="33" spans="1:20" x14ac:dyDescent="0.25">
      <c r="A33" s="191" t="s">
        <v>167</v>
      </c>
      <c r="B33" s="51"/>
      <c r="C33" s="189"/>
      <c r="D33" s="189">
        <v>45</v>
      </c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98"/>
    </row>
    <row r="34" spans="1:20" x14ac:dyDescent="0.25">
      <c r="A34" s="189" t="s">
        <v>168</v>
      </c>
      <c r="B34" s="51"/>
      <c r="C34" s="189"/>
      <c r="D34" s="189">
        <v>902.2</v>
      </c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98"/>
    </row>
    <row r="35" spans="1:20" x14ac:dyDescent="0.25">
      <c r="A35" s="189" t="s">
        <v>172</v>
      </c>
      <c r="B35" s="51"/>
      <c r="C35" s="189"/>
      <c r="D35" s="189"/>
      <c r="E35" s="189"/>
      <c r="F35" s="189"/>
      <c r="G35" s="189">
        <v>45</v>
      </c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98"/>
    </row>
    <row r="36" spans="1:20" x14ac:dyDescent="0.25">
      <c r="A36" s="189" t="s">
        <v>173</v>
      </c>
      <c r="B36" s="51"/>
      <c r="C36" s="189"/>
      <c r="D36" s="189"/>
      <c r="E36" s="189"/>
      <c r="F36" s="189"/>
      <c r="G36" s="189">
        <v>13.33</v>
      </c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98"/>
    </row>
    <row r="37" spans="1:20" x14ac:dyDescent="0.25">
      <c r="A37" s="189" t="s">
        <v>174</v>
      </c>
      <c r="B37" s="189"/>
      <c r="C37" s="189"/>
      <c r="D37" s="189"/>
      <c r="E37" s="189"/>
      <c r="F37" s="189"/>
      <c r="G37" s="189"/>
      <c r="H37" s="189"/>
      <c r="I37" s="189"/>
      <c r="J37" s="189"/>
      <c r="K37" s="189">
        <v>17.87</v>
      </c>
      <c r="L37" s="189"/>
      <c r="M37" s="189"/>
      <c r="N37" s="189"/>
      <c r="O37" s="189"/>
      <c r="P37" s="189"/>
      <c r="Q37" s="189"/>
      <c r="R37" s="189"/>
      <c r="S37" s="189"/>
      <c r="T37" s="98"/>
    </row>
    <row r="38" spans="1:20" x14ac:dyDescent="0.25">
      <c r="A38" s="189" t="s">
        <v>174</v>
      </c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>
        <v>20.46</v>
      </c>
      <c r="Q38" s="189"/>
      <c r="R38" s="189"/>
      <c r="S38" s="189"/>
      <c r="T38" s="98"/>
    </row>
    <row r="39" spans="1:20" x14ac:dyDescent="0.25">
      <c r="A39" s="189" t="s">
        <v>246</v>
      </c>
      <c r="B39" s="189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>
        <v>64.59</v>
      </c>
      <c r="S39" s="189" t="s">
        <v>257</v>
      </c>
      <c r="T39" s="98"/>
    </row>
    <row r="40" spans="1:20" x14ac:dyDescent="0.25">
      <c r="A40" s="189" t="s">
        <v>247</v>
      </c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>
        <f>-25.4</f>
        <v>-25.4</v>
      </c>
      <c r="S40" s="189" t="s">
        <v>257</v>
      </c>
      <c r="T40" s="98"/>
    </row>
    <row r="41" spans="1:20" x14ac:dyDescent="0.25">
      <c r="A41" s="189" t="s">
        <v>248</v>
      </c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>
        <f>-19.87</f>
        <v>-19.87</v>
      </c>
      <c r="S41" s="189"/>
      <c r="T41" s="98"/>
    </row>
    <row r="42" spans="1:20" x14ac:dyDescent="0.25">
      <c r="A42" s="189" t="s">
        <v>249</v>
      </c>
      <c r="B42" s="189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220">
        <v>3034.5</v>
      </c>
      <c r="S42" s="189"/>
      <c r="T42" s="98"/>
    </row>
    <row r="43" spans="1:20" x14ac:dyDescent="0.25">
      <c r="A43" s="189" t="s">
        <v>250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220">
        <v>35</v>
      </c>
      <c r="S43" s="189"/>
      <c r="T43" s="98"/>
    </row>
    <row r="44" spans="1:20" x14ac:dyDescent="0.25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220"/>
      <c r="S44" s="189"/>
      <c r="T44" s="98"/>
    </row>
    <row r="45" spans="1:20" ht="15.75" thickBot="1" x14ac:dyDescent="0.3">
      <c r="A45" s="205"/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220"/>
      <c r="S45" s="189"/>
      <c r="T45" s="98"/>
    </row>
    <row r="46" spans="1:20" ht="15.75" thickBot="1" x14ac:dyDescent="0.3">
      <c r="A46" s="202"/>
      <c r="B46" s="203">
        <f t="shared" ref="B46:R46" si="1">SUM(B23:B45)</f>
        <v>-211.64999999999998</v>
      </c>
      <c r="C46" s="203">
        <f t="shared" si="1"/>
        <v>0</v>
      </c>
      <c r="D46" s="203">
        <f t="shared" si="1"/>
        <v>1007.2</v>
      </c>
      <c r="E46" s="203">
        <f t="shared" si="1"/>
        <v>0</v>
      </c>
      <c r="F46" s="203">
        <f t="shared" si="1"/>
        <v>0</v>
      </c>
      <c r="G46" s="203">
        <f t="shared" si="1"/>
        <v>58.33</v>
      </c>
      <c r="H46" s="203">
        <f t="shared" si="1"/>
        <v>0</v>
      </c>
      <c r="I46" s="203">
        <f t="shared" si="1"/>
        <v>0</v>
      </c>
      <c r="J46" s="203">
        <f t="shared" si="1"/>
        <v>0</v>
      </c>
      <c r="K46" s="203">
        <f t="shared" si="1"/>
        <v>17.87</v>
      </c>
      <c r="L46" s="203">
        <f t="shared" si="1"/>
        <v>0</v>
      </c>
      <c r="M46" s="203">
        <f t="shared" si="1"/>
        <v>-324</v>
      </c>
      <c r="N46" s="203">
        <f t="shared" si="1"/>
        <v>0</v>
      </c>
      <c r="O46" s="203">
        <f t="shared" si="1"/>
        <v>0</v>
      </c>
      <c r="P46" s="203">
        <f t="shared" si="1"/>
        <v>20.46</v>
      </c>
      <c r="Q46" s="203">
        <f t="shared" si="1"/>
        <v>0</v>
      </c>
      <c r="R46" s="204">
        <f t="shared" si="1"/>
        <v>3088.82</v>
      </c>
      <c r="S46" s="203">
        <f>SUM(B46:R46)</f>
        <v>3657.03</v>
      </c>
    </row>
    <row r="47" spans="1:20" ht="16.5" thickBot="1" x14ac:dyDescent="0.3">
      <c r="A47" s="202"/>
      <c r="B47" s="264" t="s">
        <v>82</v>
      </c>
      <c r="C47" s="264"/>
      <c r="D47" s="265"/>
      <c r="E47" s="266" t="s">
        <v>2</v>
      </c>
      <c r="F47" s="264"/>
      <c r="G47" s="264"/>
      <c r="H47" s="184"/>
      <c r="I47" s="266" t="s">
        <v>3</v>
      </c>
      <c r="J47" s="264"/>
      <c r="K47" s="265"/>
      <c r="L47" s="180"/>
      <c r="M47" s="266" t="s">
        <v>4</v>
      </c>
      <c r="N47" s="264"/>
      <c r="O47" s="264"/>
      <c r="P47" s="265"/>
      <c r="Q47" s="266" t="s">
        <v>5</v>
      </c>
      <c r="R47" s="264"/>
      <c r="S47" s="107"/>
    </row>
    <row r="48" spans="1:20" ht="15.75" thickBot="1" x14ac:dyDescent="0.3">
      <c r="A48" s="198" t="s">
        <v>288</v>
      </c>
      <c r="B48" s="182">
        <v>1298</v>
      </c>
      <c r="C48" s="182">
        <v>1303</v>
      </c>
      <c r="D48" s="183">
        <v>1304</v>
      </c>
      <c r="E48" s="181">
        <v>1298</v>
      </c>
      <c r="F48" s="182">
        <v>1301</v>
      </c>
      <c r="G48" s="182">
        <v>1304</v>
      </c>
      <c r="H48" s="183">
        <v>4004</v>
      </c>
      <c r="I48" s="185">
        <v>1298</v>
      </c>
      <c r="J48" s="182">
        <v>1301</v>
      </c>
      <c r="K48" s="182">
        <v>1304</v>
      </c>
      <c r="L48" s="182">
        <v>4004</v>
      </c>
      <c r="M48" s="182">
        <v>1298</v>
      </c>
      <c r="N48" s="182">
        <v>1302</v>
      </c>
      <c r="O48" s="182">
        <v>1303</v>
      </c>
      <c r="P48" s="182">
        <v>1304</v>
      </c>
      <c r="Q48" s="182">
        <v>1298</v>
      </c>
      <c r="R48" s="183">
        <v>1304</v>
      </c>
      <c r="S48" s="145"/>
      <c r="T48" s="98"/>
    </row>
    <row r="49" spans="1:20" x14ac:dyDescent="0.25">
      <c r="A49" s="100"/>
      <c r="B49" s="207">
        <f t="shared" ref="B49:S49" si="2">B20+B46</f>
        <v>-211.64999999999998</v>
      </c>
      <c r="C49" s="207">
        <f t="shared" si="2"/>
        <v>0</v>
      </c>
      <c r="D49" s="207">
        <f t="shared" si="2"/>
        <v>1007.2</v>
      </c>
      <c r="E49" s="207">
        <f t="shared" si="2"/>
        <v>150</v>
      </c>
      <c r="F49" s="207">
        <f t="shared" si="2"/>
        <v>657.5</v>
      </c>
      <c r="G49" s="207">
        <f t="shared" si="2"/>
        <v>58.33</v>
      </c>
      <c r="H49" s="207">
        <f t="shared" si="2"/>
        <v>0</v>
      </c>
      <c r="I49" s="207">
        <f t="shared" si="2"/>
        <v>286.8</v>
      </c>
      <c r="J49" s="207">
        <f t="shared" si="2"/>
        <v>0</v>
      </c>
      <c r="K49" s="207">
        <f t="shared" si="2"/>
        <v>17.87</v>
      </c>
      <c r="L49" s="207">
        <f t="shared" si="2"/>
        <v>0</v>
      </c>
      <c r="M49" s="207">
        <f t="shared" si="2"/>
        <v>-324</v>
      </c>
      <c r="N49" s="207">
        <f t="shared" si="2"/>
        <v>0</v>
      </c>
      <c r="O49" s="207">
        <f t="shared" si="2"/>
        <v>0</v>
      </c>
      <c r="P49" s="207">
        <f t="shared" si="2"/>
        <v>20.46</v>
      </c>
      <c r="Q49" s="207">
        <f t="shared" si="2"/>
        <v>98.850000000000009</v>
      </c>
      <c r="R49" s="207">
        <f t="shared" si="2"/>
        <v>3088.82</v>
      </c>
      <c r="S49" s="207">
        <f t="shared" si="2"/>
        <v>4850.18</v>
      </c>
      <c r="T49" s="143"/>
    </row>
    <row r="50" spans="1:20" ht="15.75" x14ac:dyDescent="0.25">
      <c r="A50" s="90"/>
      <c r="B50" s="97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7"/>
      <c r="T50" s="88"/>
    </row>
    <row r="51" spans="1:20" ht="15.75" x14ac:dyDescent="0.25">
      <c r="A51" s="210" t="s">
        <v>178</v>
      </c>
      <c r="B51" s="97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7"/>
      <c r="T51" s="88"/>
    </row>
    <row r="52" spans="1:20" x14ac:dyDescent="0.25">
      <c r="A52" s="102"/>
      <c r="B52" s="75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44"/>
    </row>
    <row r="53" spans="1:20" x14ac:dyDescent="0.25">
      <c r="A53" s="86" t="s">
        <v>267</v>
      </c>
      <c r="B53" s="208">
        <f>B49+E49+I49+M49+Q49</f>
        <v>0</v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44"/>
    </row>
    <row r="54" spans="1:20" x14ac:dyDescent="0.25">
      <c r="A54" s="86" t="s">
        <v>84</v>
      </c>
      <c r="B54" s="209">
        <f>F49+J49</f>
        <v>657.5</v>
      </c>
      <c r="C54" s="50"/>
      <c r="D54" s="101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</row>
    <row r="55" spans="1:20" x14ac:dyDescent="0.25">
      <c r="A55" s="86" t="s">
        <v>155</v>
      </c>
      <c r="B55" s="209">
        <f>N49</f>
        <v>0</v>
      </c>
      <c r="C55" s="50"/>
      <c r="D55" s="101"/>
      <c r="E55" s="50"/>
      <c r="F55" s="50"/>
      <c r="G55" s="212"/>
      <c r="H55" s="50"/>
      <c r="I55" s="212"/>
      <c r="J55" s="50"/>
      <c r="K55" s="213"/>
      <c r="L55" s="50"/>
      <c r="M55" s="50"/>
      <c r="N55" s="50"/>
      <c r="O55" s="50"/>
      <c r="P55" s="50"/>
      <c r="Q55" s="50"/>
      <c r="R55" s="50"/>
      <c r="S55" s="44"/>
    </row>
    <row r="56" spans="1:20" x14ac:dyDescent="0.25">
      <c r="A56" s="86" t="s">
        <v>154</v>
      </c>
      <c r="B56" s="209">
        <f>C49+O49</f>
        <v>0</v>
      </c>
      <c r="C56" s="50"/>
      <c r="D56" s="50"/>
      <c r="E56" s="50"/>
      <c r="F56" s="50"/>
      <c r="G56" s="50"/>
      <c r="H56" s="50"/>
      <c r="I56" s="50"/>
      <c r="J56" s="50"/>
      <c r="K56" s="213"/>
      <c r="L56" s="50"/>
      <c r="M56" s="50"/>
      <c r="N56" s="50"/>
      <c r="O56" s="50"/>
      <c r="P56" s="50"/>
      <c r="Q56" s="50"/>
      <c r="R56" s="50"/>
      <c r="S56" s="44"/>
    </row>
    <row r="57" spans="1:20" x14ac:dyDescent="0.25">
      <c r="A57" s="86" t="s">
        <v>85</v>
      </c>
      <c r="B57" s="209">
        <f>D49+G49+K49+P49+R49</f>
        <v>4192.68</v>
      </c>
      <c r="C57" s="50"/>
      <c r="D57" s="44"/>
      <c r="E57" s="44"/>
      <c r="F57" s="50"/>
      <c r="G57" s="50"/>
      <c r="H57" s="44"/>
      <c r="I57" s="50"/>
      <c r="J57" s="44"/>
      <c r="K57" s="213"/>
      <c r="L57" s="44"/>
      <c r="M57" s="44"/>
      <c r="N57" s="44"/>
      <c r="O57" s="44"/>
      <c r="P57" s="44"/>
      <c r="Q57" s="44"/>
      <c r="R57" s="44"/>
      <c r="S57" s="44"/>
    </row>
    <row r="58" spans="1:20" x14ac:dyDescent="0.25">
      <c r="A58" s="103" t="s">
        <v>86</v>
      </c>
      <c r="B58" s="104">
        <f>SUM(B53:B57)</f>
        <v>4850.18</v>
      </c>
      <c r="C58" s="50"/>
      <c r="D58" s="206"/>
      <c r="E58" s="44"/>
      <c r="F58" s="44"/>
      <c r="G58" s="44"/>
      <c r="H58" s="44"/>
      <c r="I58" s="44"/>
      <c r="J58" s="44"/>
      <c r="K58" s="213"/>
      <c r="L58" s="44"/>
      <c r="M58" s="44"/>
      <c r="N58" s="44"/>
      <c r="O58" s="44"/>
      <c r="P58" s="44"/>
      <c r="Q58" s="44"/>
      <c r="R58" s="44"/>
      <c r="S58" s="44"/>
    </row>
    <row r="59" spans="1:20" x14ac:dyDescent="0.25">
      <c r="K59" s="213"/>
      <c r="L59" s="50"/>
    </row>
    <row r="60" spans="1:20" x14ac:dyDescent="0.25">
      <c r="A60" s="44" t="s">
        <v>268</v>
      </c>
      <c r="K60" s="213"/>
      <c r="L60" s="50"/>
    </row>
    <row r="61" spans="1:20" x14ac:dyDescent="0.25">
      <c r="A61" s="44" t="s">
        <v>258</v>
      </c>
      <c r="K61" s="213"/>
      <c r="L61" s="50"/>
    </row>
    <row r="62" spans="1:20" x14ac:dyDescent="0.25">
      <c r="K62" s="214"/>
      <c r="L62" s="214"/>
    </row>
  </sheetData>
  <mergeCells count="15">
    <mergeCell ref="B21:D21"/>
    <mergeCell ref="E21:G21"/>
    <mergeCell ref="I21:K21"/>
    <mergeCell ref="M21:P21"/>
    <mergeCell ref="Q21:R21"/>
    <mergeCell ref="B4:D4"/>
    <mergeCell ref="E4:G4"/>
    <mergeCell ref="I4:K4"/>
    <mergeCell ref="M4:P4"/>
    <mergeCell ref="Q4:R4"/>
    <mergeCell ref="B47:D47"/>
    <mergeCell ref="E47:G47"/>
    <mergeCell ref="I47:K47"/>
    <mergeCell ref="M47:P47"/>
    <mergeCell ref="Q47:R47"/>
  </mergeCells>
  <pageMargins left="0.7" right="0.7" top="0.75" bottom="0.75" header="0.3" footer="0.3"/>
  <pageSetup paperSize="9" scale="5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40606-0AED-4F80-8815-40BC15F610F0}">
  <sheetPr>
    <pageSetUpPr fitToPage="1"/>
  </sheetPr>
  <dimension ref="A1:T59"/>
  <sheetViews>
    <sheetView topLeftCell="A14" workbookViewId="0">
      <selection activeCell="L20" sqref="L20"/>
    </sheetView>
  </sheetViews>
  <sheetFormatPr defaultRowHeight="15" x14ac:dyDescent="0.25"/>
  <cols>
    <col min="3" max="3" width="12.7109375" customWidth="1"/>
    <col min="4" max="4" width="14.7109375" customWidth="1"/>
    <col min="5" max="5" width="5.28515625" customWidth="1"/>
    <col min="6" max="6" width="11.5703125" customWidth="1"/>
    <col min="7" max="7" width="6" customWidth="1"/>
    <col min="8" max="8" width="12" customWidth="1"/>
    <col min="9" max="9" width="5.42578125" customWidth="1"/>
    <col min="10" max="10" width="22.7109375" customWidth="1"/>
    <col min="11" max="11" width="6.7109375" customWidth="1"/>
    <col min="12" max="12" width="13.140625" customWidth="1"/>
    <col min="14" max="14" width="2.140625" customWidth="1"/>
    <col min="17" max="17" width="0.5703125" customWidth="1"/>
  </cols>
  <sheetData>
    <row r="1" spans="1:12" ht="21" x14ac:dyDescent="0.35">
      <c r="A1" s="134" t="s">
        <v>254</v>
      </c>
    </row>
    <row r="2" spans="1:12" ht="6" customHeight="1" x14ac:dyDescent="0.3">
      <c r="A2" s="110"/>
    </row>
    <row r="3" spans="1:12" x14ac:dyDescent="0.25">
      <c r="A3" s="120" t="s">
        <v>219</v>
      </c>
    </row>
    <row r="4" spans="1:12" x14ac:dyDescent="0.25">
      <c r="A4" s="120"/>
    </row>
    <row r="5" spans="1:12" x14ac:dyDescent="0.25">
      <c r="A5" s="120"/>
    </row>
    <row r="6" spans="1:12" ht="18.75" x14ac:dyDescent="0.3">
      <c r="A6" s="110" t="s">
        <v>179</v>
      </c>
      <c r="C6" s="60"/>
      <c r="D6" s="60"/>
      <c r="E6" s="60"/>
      <c r="F6" s="60"/>
      <c r="G6" s="60"/>
      <c r="H6" s="60"/>
      <c r="I6" s="60"/>
      <c r="J6" s="60"/>
      <c r="K6" s="60"/>
      <c r="L6" s="68"/>
    </row>
    <row r="7" spans="1:12" ht="15.75" x14ac:dyDescent="0.25">
      <c r="C7" s="60"/>
      <c r="D7" s="60"/>
      <c r="E7" s="60"/>
      <c r="F7" s="60"/>
      <c r="G7" s="60"/>
      <c r="H7" s="60"/>
      <c r="I7" s="60"/>
      <c r="J7" s="60"/>
      <c r="K7" s="60"/>
      <c r="L7" s="68"/>
    </row>
    <row r="8" spans="1:12" ht="15.75" x14ac:dyDescent="0.25">
      <c r="A8" s="60" t="s">
        <v>180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8"/>
    </row>
    <row r="9" spans="1:12" ht="15.75" x14ac:dyDescent="0.25">
      <c r="C9" s="60"/>
      <c r="D9" s="60"/>
      <c r="E9" s="60"/>
      <c r="F9" s="60"/>
      <c r="G9" s="60"/>
      <c r="H9" s="60"/>
      <c r="I9" s="60"/>
      <c r="J9" s="60"/>
      <c r="K9" s="60"/>
      <c r="L9" s="68"/>
    </row>
    <row r="10" spans="1:12" ht="21" x14ac:dyDescent="0.35">
      <c r="A10" s="134" t="s">
        <v>181</v>
      </c>
      <c r="B10" s="66" t="s">
        <v>182</v>
      </c>
      <c r="C10" s="60"/>
      <c r="D10" s="60"/>
      <c r="E10" s="60"/>
      <c r="F10" s="60"/>
      <c r="G10" s="60"/>
      <c r="H10" s="60"/>
      <c r="I10" s="60"/>
      <c r="J10" s="60"/>
      <c r="K10" s="60"/>
      <c r="L10" s="68"/>
    </row>
    <row r="11" spans="1:12" ht="21" x14ac:dyDescent="0.35">
      <c r="A11" s="134"/>
      <c r="B11" s="66"/>
      <c r="C11" s="60"/>
      <c r="D11" s="60"/>
      <c r="E11" s="60"/>
      <c r="F11" s="60"/>
      <c r="G11" s="60"/>
      <c r="H11" s="60"/>
      <c r="I11" s="60"/>
      <c r="J11" s="60"/>
      <c r="K11" s="60"/>
      <c r="L11" s="68"/>
    </row>
    <row r="12" spans="1:12" ht="15.75" x14ac:dyDescent="0.25">
      <c r="A12" s="120" t="s">
        <v>183</v>
      </c>
      <c r="B12" s="62" t="s">
        <v>184</v>
      </c>
      <c r="C12" s="60"/>
      <c r="D12" s="60"/>
      <c r="E12" s="60"/>
      <c r="F12" s="60"/>
      <c r="G12" s="60"/>
      <c r="H12" s="60"/>
      <c r="I12" s="60"/>
      <c r="J12" s="60"/>
      <c r="K12" s="60"/>
      <c r="L12" s="68"/>
    </row>
    <row r="13" spans="1:12" ht="15.75" x14ac:dyDescent="0.25">
      <c r="B13" s="60" t="s">
        <v>185</v>
      </c>
      <c r="C13" s="60"/>
      <c r="D13" s="60"/>
      <c r="E13" s="60"/>
      <c r="F13" s="60"/>
      <c r="G13" s="60"/>
      <c r="H13" s="60"/>
      <c r="I13" s="60"/>
      <c r="J13" s="60"/>
      <c r="K13" s="60"/>
      <c r="L13" s="68"/>
    </row>
    <row r="14" spans="1:12" ht="15.75" x14ac:dyDescent="0.25">
      <c r="B14" s="60" t="s">
        <v>186</v>
      </c>
      <c r="C14" s="60"/>
      <c r="D14" s="60"/>
      <c r="E14" s="60"/>
      <c r="F14" s="60"/>
      <c r="G14" s="60"/>
      <c r="H14" s="60"/>
      <c r="I14" s="60"/>
      <c r="J14" s="60"/>
      <c r="K14" s="60"/>
      <c r="L14" s="68"/>
    </row>
    <row r="15" spans="1:12" ht="15.75" x14ac:dyDescent="0.25">
      <c r="B15" s="60" t="s">
        <v>187</v>
      </c>
      <c r="C15" s="60"/>
      <c r="D15" s="60"/>
      <c r="E15" s="60"/>
      <c r="F15" s="60"/>
      <c r="G15" s="60"/>
      <c r="H15" s="60"/>
      <c r="I15" s="60"/>
      <c r="J15" s="60"/>
      <c r="K15" s="60"/>
      <c r="L15" s="68"/>
    </row>
    <row r="16" spans="1:12" ht="15.75" x14ac:dyDescent="0.25">
      <c r="B16" s="60" t="s">
        <v>188</v>
      </c>
      <c r="C16" s="60"/>
      <c r="D16" s="60"/>
      <c r="E16" s="60"/>
      <c r="F16" s="60"/>
      <c r="G16" s="60"/>
      <c r="H16" s="60"/>
      <c r="I16" s="60"/>
      <c r="J16" s="60"/>
      <c r="K16" s="60"/>
      <c r="L16" s="68"/>
    </row>
    <row r="17" spans="1:13" ht="15.75" x14ac:dyDescent="0.25"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8"/>
    </row>
    <row r="18" spans="1:13" ht="15.75" x14ac:dyDescent="0.25">
      <c r="A18" s="120" t="s">
        <v>189</v>
      </c>
      <c r="B18" s="62" t="s">
        <v>190</v>
      </c>
      <c r="C18" s="60"/>
      <c r="D18" s="60"/>
      <c r="E18" s="60"/>
      <c r="F18" s="60"/>
      <c r="G18" s="60"/>
      <c r="H18" s="60"/>
      <c r="I18" s="60"/>
      <c r="J18" s="60"/>
      <c r="K18" s="60"/>
      <c r="L18" s="68"/>
    </row>
    <row r="19" spans="1:13" ht="15.75" x14ac:dyDescent="0.25">
      <c r="A19" s="120"/>
      <c r="B19" s="60" t="s">
        <v>299</v>
      </c>
      <c r="C19" s="60"/>
      <c r="D19" s="60"/>
      <c r="E19" s="60"/>
      <c r="F19" s="60"/>
      <c r="G19" s="60"/>
      <c r="H19" s="60"/>
      <c r="I19" s="60"/>
      <c r="J19" s="60"/>
      <c r="K19" s="60"/>
      <c r="L19" s="68"/>
    </row>
    <row r="20" spans="1:13" ht="15.75" x14ac:dyDescent="0.25">
      <c r="A20" s="120"/>
      <c r="B20" s="60"/>
      <c r="C20" s="60"/>
      <c r="D20" s="60"/>
      <c r="E20" s="60"/>
      <c r="F20" s="60"/>
      <c r="G20" s="60"/>
      <c r="H20" s="60"/>
      <c r="I20" s="60"/>
      <c r="J20" s="60"/>
      <c r="K20" s="62"/>
      <c r="L20" s="68"/>
    </row>
    <row r="21" spans="1:13" ht="15.75" x14ac:dyDescent="0.25">
      <c r="A21" s="120"/>
      <c r="B21" s="146" t="s">
        <v>191</v>
      </c>
      <c r="C21" s="146" t="s">
        <v>192</v>
      </c>
      <c r="D21" s="109" t="s">
        <v>193</v>
      </c>
      <c r="E21" s="60" t="s">
        <v>230</v>
      </c>
      <c r="F21" s="60"/>
      <c r="G21" s="60"/>
      <c r="H21" s="60"/>
      <c r="J21" s="60"/>
      <c r="K21" s="60"/>
      <c r="L21" s="62"/>
      <c r="M21" s="147"/>
    </row>
    <row r="22" spans="1:13" ht="15.75" x14ac:dyDescent="0.25">
      <c r="A22" s="120"/>
      <c r="B22" s="148">
        <v>2023</v>
      </c>
      <c r="C22" s="71" t="s">
        <v>194</v>
      </c>
      <c r="D22" s="149">
        <v>877</v>
      </c>
      <c r="E22" s="60"/>
      <c r="F22" s="60"/>
      <c r="G22" s="60"/>
      <c r="H22" s="60"/>
      <c r="J22" s="60"/>
      <c r="K22" s="60"/>
      <c r="L22" s="60"/>
      <c r="M22" s="150"/>
    </row>
    <row r="23" spans="1:13" ht="15.75" x14ac:dyDescent="0.25">
      <c r="A23" s="120"/>
      <c r="B23" s="151">
        <v>2024</v>
      </c>
      <c r="C23" s="60" t="s">
        <v>194</v>
      </c>
      <c r="D23" s="152">
        <v>803</v>
      </c>
      <c r="E23" s="60"/>
      <c r="F23" s="60"/>
      <c r="G23" s="60"/>
      <c r="H23" s="60"/>
      <c r="J23" s="60"/>
      <c r="K23" s="60"/>
      <c r="L23" s="60"/>
    </row>
    <row r="24" spans="1:13" ht="15.75" x14ac:dyDescent="0.25">
      <c r="A24" s="120"/>
      <c r="B24" s="151">
        <v>2025</v>
      </c>
      <c r="C24" s="60" t="s">
        <v>195</v>
      </c>
      <c r="D24" s="277">
        <v>789</v>
      </c>
      <c r="E24" s="60" t="s">
        <v>300</v>
      </c>
      <c r="F24" s="60"/>
      <c r="G24" s="153"/>
      <c r="H24" s="60"/>
      <c r="J24" s="60"/>
      <c r="K24" s="60"/>
      <c r="L24" s="154"/>
      <c r="M24" s="150"/>
    </row>
    <row r="25" spans="1:13" ht="15.75" x14ac:dyDescent="0.25">
      <c r="A25" s="120"/>
      <c r="B25" s="155">
        <v>2025</v>
      </c>
      <c r="C25" s="64" t="s">
        <v>196</v>
      </c>
      <c r="D25" s="174">
        <v>746</v>
      </c>
      <c r="E25" s="60" t="s">
        <v>234</v>
      </c>
      <c r="F25" s="60"/>
      <c r="G25" s="153"/>
      <c r="H25" s="156"/>
      <c r="J25" s="153"/>
      <c r="K25" s="60"/>
      <c r="L25" s="68"/>
    </row>
    <row r="26" spans="1:13" ht="15.75" x14ac:dyDescent="0.25">
      <c r="A26" s="12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8"/>
    </row>
    <row r="27" spans="1:13" ht="15.75" x14ac:dyDescent="0.25">
      <c r="A27" s="120"/>
      <c r="B27" s="60" t="s">
        <v>197</v>
      </c>
      <c r="C27" s="60"/>
      <c r="D27" s="60"/>
      <c r="E27" s="60"/>
      <c r="F27" s="60"/>
      <c r="G27" s="60"/>
      <c r="H27" s="60"/>
      <c r="I27" s="60"/>
      <c r="J27" s="60"/>
      <c r="K27" s="60"/>
      <c r="L27" s="68"/>
    </row>
    <row r="28" spans="1:13" ht="15.75" x14ac:dyDescent="0.25">
      <c r="A28" s="120"/>
      <c r="B28" s="60" t="s">
        <v>251</v>
      </c>
      <c r="C28" s="60"/>
      <c r="D28" s="60"/>
      <c r="E28" s="60"/>
      <c r="F28" s="60"/>
      <c r="G28" s="60"/>
      <c r="H28" s="60"/>
      <c r="I28" s="60"/>
      <c r="J28" s="60"/>
      <c r="K28" s="60"/>
      <c r="L28" s="68"/>
    </row>
    <row r="29" spans="1:13" ht="15.75" x14ac:dyDescent="0.25">
      <c r="A29" s="120"/>
      <c r="B29" s="60" t="s">
        <v>198</v>
      </c>
      <c r="C29" s="60"/>
      <c r="D29" s="60"/>
      <c r="E29" s="60"/>
      <c r="F29" s="60"/>
      <c r="G29" s="60"/>
      <c r="H29" s="60"/>
      <c r="I29" s="60"/>
      <c r="J29" s="60"/>
      <c r="K29" s="60"/>
      <c r="L29" s="68"/>
    </row>
    <row r="30" spans="1:13" ht="15.75" x14ac:dyDescent="0.25">
      <c r="A30" s="120"/>
      <c r="B30" s="60" t="s">
        <v>252</v>
      </c>
      <c r="C30" s="60"/>
      <c r="D30" s="60"/>
      <c r="E30" s="60"/>
      <c r="F30" s="60"/>
      <c r="G30" s="60"/>
      <c r="H30" s="60"/>
      <c r="I30" s="60"/>
      <c r="J30" s="60"/>
      <c r="K30" s="60"/>
      <c r="L30" s="68"/>
    </row>
    <row r="31" spans="1:13" ht="15.75" x14ac:dyDescent="0.25">
      <c r="A31" s="120"/>
      <c r="B31" s="60" t="s">
        <v>199</v>
      </c>
      <c r="C31" s="60"/>
      <c r="D31" s="60"/>
      <c r="E31" s="60"/>
      <c r="F31" s="60"/>
      <c r="G31" s="60"/>
      <c r="H31" s="60"/>
      <c r="I31" s="60"/>
      <c r="J31" s="60"/>
      <c r="K31" s="60"/>
      <c r="L31" s="68"/>
    </row>
    <row r="32" spans="1:13" ht="15.75" x14ac:dyDescent="0.25">
      <c r="A32" s="12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8"/>
    </row>
    <row r="33" spans="1:20" ht="15.75" x14ac:dyDescent="0.25">
      <c r="A33" s="120" t="s">
        <v>200</v>
      </c>
      <c r="B33" s="62" t="s">
        <v>201</v>
      </c>
      <c r="C33" s="60"/>
      <c r="D33" s="60"/>
      <c r="E33" s="60"/>
      <c r="F33" s="60"/>
      <c r="G33" s="60"/>
      <c r="H33" s="60"/>
      <c r="I33" s="60"/>
      <c r="J33" s="60"/>
      <c r="K33" s="60"/>
      <c r="L33" s="68"/>
    </row>
    <row r="34" spans="1:20" ht="15.75" x14ac:dyDescent="0.25">
      <c r="A34" s="120"/>
      <c r="B34" s="157"/>
      <c r="C34" s="71"/>
      <c r="D34" s="71"/>
      <c r="E34" s="71"/>
      <c r="F34" s="71"/>
      <c r="G34" s="71"/>
      <c r="H34" s="71"/>
      <c r="I34" s="71"/>
      <c r="J34" s="71"/>
      <c r="K34" s="71"/>
      <c r="L34" s="149"/>
      <c r="O34" s="118"/>
      <c r="P34" s="118"/>
      <c r="Q34" s="118"/>
      <c r="R34" s="118"/>
    </row>
    <row r="35" spans="1:20" ht="15.75" x14ac:dyDescent="0.25">
      <c r="A35" s="120"/>
      <c r="B35" s="221" t="s">
        <v>202</v>
      </c>
      <c r="C35" s="60"/>
      <c r="D35" s="60"/>
      <c r="E35" s="60"/>
      <c r="F35" s="109" t="s">
        <v>203</v>
      </c>
      <c r="G35" s="68"/>
      <c r="H35" s="109" t="s">
        <v>204</v>
      </c>
      <c r="I35" s="68"/>
      <c r="J35" s="109" t="s">
        <v>205</v>
      </c>
      <c r="K35" s="60"/>
      <c r="L35" s="109" t="s">
        <v>206</v>
      </c>
      <c r="O35" s="118"/>
      <c r="P35" s="118"/>
      <c r="Q35" s="118"/>
      <c r="R35" s="118"/>
    </row>
    <row r="36" spans="1:20" ht="15.75" x14ac:dyDescent="0.25">
      <c r="A36" s="120"/>
      <c r="B36" s="158" t="s">
        <v>271</v>
      </c>
      <c r="C36" s="60"/>
      <c r="D36" s="60"/>
      <c r="E36" s="60"/>
      <c r="F36" s="68"/>
      <c r="G36" s="68"/>
      <c r="H36" s="68"/>
      <c r="I36" s="68"/>
      <c r="J36" s="68"/>
      <c r="K36" s="60"/>
      <c r="L36" s="152"/>
      <c r="O36" s="118"/>
      <c r="P36" s="118"/>
      <c r="Q36" s="118"/>
      <c r="R36" s="118"/>
    </row>
    <row r="37" spans="1:20" ht="15.75" x14ac:dyDescent="0.25">
      <c r="A37" s="120"/>
      <c r="B37" s="159"/>
      <c r="C37" s="60"/>
      <c r="D37" s="60"/>
      <c r="E37" s="60"/>
      <c r="F37" s="68"/>
      <c r="G37" s="68"/>
      <c r="H37" s="68"/>
      <c r="I37" s="68"/>
      <c r="J37" s="68"/>
      <c r="K37" s="60"/>
      <c r="L37" s="152"/>
      <c r="O37" s="118"/>
      <c r="P37" s="118"/>
      <c r="Q37" s="118"/>
      <c r="R37" s="118"/>
    </row>
    <row r="38" spans="1:20" ht="15.75" x14ac:dyDescent="0.25">
      <c r="A38" s="120"/>
      <c r="B38" s="158" t="s">
        <v>207</v>
      </c>
      <c r="C38" s="60"/>
      <c r="D38" s="60"/>
      <c r="E38" s="60"/>
      <c r="F38" s="109">
        <v>145</v>
      </c>
      <c r="G38" s="68"/>
      <c r="H38" s="109">
        <v>341</v>
      </c>
      <c r="I38" s="68"/>
      <c r="J38" s="109">
        <v>300</v>
      </c>
      <c r="K38" s="60"/>
      <c r="L38" s="109">
        <f>SUM(F38:K38)</f>
        <v>786</v>
      </c>
      <c r="O38" s="118"/>
      <c r="P38" s="118"/>
      <c r="Q38" s="118"/>
      <c r="R38" s="118"/>
    </row>
    <row r="39" spans="1:20" ht="15.75" x14ac:dyDescent="0.25">
      <c r="A39" s="120"/>
      <c r="B39" s="158" t="s">
        <v>208</v>
      </c>
      <c r="C39" s="60"/>
      <c r="D39" s="60"/>
      <c r="E39" s="60"/>
      <c r="F39" s="70">
        <v>6743</v>
      </c>
      <c r="G39" s="70"/>
      <c r="H39" s="70">
        <v>15810</v>
      </c>
      <c r="I39" s="70"/>
      <c r="J39" s="70">
        <v>13904</v>
      </c>
      <c r="K39" s="70"/>
      <c r="L39" s="223">
        <f>SUM(F39:K39)</f>
        <v>36457</v>
      </c>
      <c r="O39" s="118"/>
    </row>
    <row r="40" spans="1:20" ht="15.75" x14ac:dyDescent="0.25">
      <c r="A40" s="120"/>
      <c r="B40" s="158"/>
      <c r="C40" s="60"/>
      <c r="D40" s="60"/>
      <c r="E40" s="60"/>
      <c r="F40" s="161"/>
      <c r="G40" s="161"/>
      <c r="H40" s="161"/>
      <c r="I40" s="161"/>
      <c r="J40" s="161"/>
      <c r="K40" s="162"/>
      <c r="L40" s="163"/>
    </row>
    <row r="41" spans="1:20" ht="15.75" x14ac:dyDescent="0.25">
      <c r="A41" s="120"/>
      <c r="B41" s="221" t="s">
        <v>209</v>
      </c>
      <c r="C41" s="60"/>
      <c r="D41" s="60"/>
      <c r="E41" s="60"/>
      <c r="F41" s="161"/>
      <c r="G41" s="161"/>
      <c r="H41" s="161"/>
      <c r="I41" s="161"/>
      <c r="J41" s="62" t="s">
        <v>210</v>
      </c>
      <c r="K41" s="162"/>
      <c r="L41" s="222">
        <v>-480</v>
      </c>
    </row>
    <row r="42" spans="1:20" ht="15.75" x14ac:dyDescent="0.25">
      <c r="A42" s="120"/>
      <c r="B42" s="158"/>
      <c r="C42" s="60"/>
      <c r="D42" s="60"/>
      <c r="E42" s="60"/>
      <c r="F42" s="161"/>
      <c r="G42" s="161"/>
      <c r="H42" s="161"/>
      <c r="I42" s="161"/>
      <c r="J42" s="62" t="s">
        <v>211</v>
      </c>
      <c r="K42" s="162"/>
      <c r="L42" s="222">
        <v>-650</v>
      </c>
      <c r="R42" s="68"/>
      <c r="S42" s="68"/>
      <c r="T42" s="68"/>
    </row>
    <row r="43" spans="1:20" ht="15.75" x14ac:dyDescent="0.25">
      <c r="B43" s="158"/>
      <c r="C43" s="60"/>
      <c r="D43" s="60"/>
      <c r="E43" s="60"/>
      <c r="F43" s="162"/>
      <c r="G43" s="162"/>
      <c r="H43" s="162"/>
      <c r="I43" s="162"/>
      <c r="J43" s="62" t="s">
        <v>212</v>
      </c>
      <c r="K43" s="162"/>
      <c r="L43" s="222">
        <v>140</v>
      </c>
      <c r="O43" s="69"/>
      <c r="P43" s="60"/>
      <c r="Q43" s="60"/>
      <c r="R43" s="175"/>
      <c r="S43" s="175"/>
      <c r="T43" s="176"/>
    </row>
    <row r="44" spans="1:20" ht="16.5" thickBot="1" x14ac:dyDescent="0.3">
      <c r="B44" s="164"/>
      <c r="C44" s="64"/>
      <c r="D44" s="64"/>
      <c r="E44" s="64"/>
      <c r="F44" s="165"/>
      <c r="G44" s="165"/>
      <c r="H44" s="165"/>
      <c r="I44" s="165"/>
      <c r="J44" s="166" t="s">
        <v>213</v>
      </c>
      <c r="K44" s="165"/>
      <c r="L44" s="224">
        <f>SUM(L39:L43)</f>
        <v>35467</v>
      </c>
      <c r="M44" t="s">
        <v>269</v>
      </c>
      <c r="O44" s="69"/>
      <c r="P44" s="60"/>
      <c r="Q44" s="60"/>
      <c r="R44" s="175"/>
      <c r="S44" s="175"/>
      <c r="T44" s="176"/>
    </row>
    <row r="45" spans="1:20" ht="19.5" thickTop="1" x14ac:dyDescent="0.3">
      <c r="B45" s="60"/>
      <c r="C45" s="60"/>
      <c r="D45" s="60"/>
      <c r="E45" s="60"/>
      <c r="F45" s="162"/>
      <c r="G45" s="162"/>
      <c r="H45" s="162"/>
      <c r="I45" s="162"/>
      <c r="J45" s="167"/>
      <c r="K45" s="162"/>
      <c r="L45" s="168"/>
      <c r="O45" s="69"/>
      <c r="P45" s="60"/>
      <c r="Q45" s="60"/>
      <c r="R45" s="175"/>
      <c r="S45" s="175"/>
      <c r="T45" s="176"/>
    </row>
    <row r="46" spans="1:20" ht="18.75" x14ac:dyDescent="0.3">
      <c r="B46" s="60"/>
      <c r="C46" s="60"/>
      <c r="D46" s="60"/>
      <c r="E46" s="60"/>
      <c r="F46" s="162"/>
      <c r="G46" s="162"/>
      <c r="H46" s="162"/>
      <c r="I46" s="162"/>
      <c r="J46" s="167"/>
      <c r="K46" s="162"/>
      <c r="L46" s="168"/>
      <c r="O46" s="69"/>
      <c r="P46" s="60"/>
      <c r="Q46" s="60"/>
      <c r="R46" s="175"/>
      <c r="S46" s="175"/>
      <c r="T46" s="176"/>
    </row>
    <row r="47" spans="1:20" ht="21" x14ac:dyDescent="0.35">
      <c r="A47" s="134" t="s">
        <v>214</v>
      </c>
      <c r="B47" s="169" t="s">
        <v>215</v>
      </c>
      <c r="C47" s="170"/>
      <c r="D47" s="71"/>
      <c r="E47" s="71"/>
      <c r="F47" s="71"/>
      <c r="G47" s="71"/>
      <c r="H47" s="71"/>
      <c r="I47" s="71"/>
      <c r="J47" s="71"/>
      <c r="K47" s="71"/>
      <c r="L47" s="149"/>
    </row>
    <row r="48" spans="1:20" ht="15.75" x14ac:dyDescent="0.25">
      <c r="B48" s="158" t="s">
        <v>216</v>
      </c>
      <c r="C48" s="60"/>
      <c r="D48" s="60"/>
      <c r="E48" s="60"/>
      <c r="F48" s="60"/>
      <c r="G48" s="60"/>
      <c r="H48" s="60"/>
      <c r="I48" s="60"/>
      <c r="J48" s="60"/>
      <c r="K48" s="60"/>
      <c r="L48" s="152"/>
    </row>
    <row r="49" spans="2:13" ht="15.75" x14ac:dyDescent="0.25">
      <c r="B49" s="98"/>
      <c r="C49" s="60"/>
      <c r="D49" s="60"/>
      <c r="E49" s="60"/>
      <c r="F49" s="60"/>
      <c r="G49" s="60"/>
      <c r="H49" s="60"/>
      <c r="I49" s="60"/>
      <c r="J49" s="60"/>
      <c r="K49" s="60"/>
      <c r="L49" s="152"/>
    </row>
    <row r="50" spans="2:13" ht="15.75" x14ac:dyDescent="0.25">
      <c r="B50" s="158"/>
      <c r="C50" s="60"/>
      <c r="D50" s="60"/>
      <c r="E50" s="60"/>
      <c r="F50" s="60"/>
      <c r="G50" s="60"/>
      <c r="H50" s="62" t="s">
        <v>217</v>
      </c>
      <c r="I50" s="60"/>
      <c r="J50" s="60"/>
      <c r="K50" s="60"/>
      <c r="L50" s="222">
        <v>30000</v>
      </c>
      <c r="M50" t="s">
        <v>270</v>
      </c>
    </row>
    <row r="51" spans="2:13" ht="15.75" x14ac:dyDescent="0.25">
      <c r="B51" s="164"/>
      <c r="C51" s="64"/>
      <c r="D51" s="64"/>
      <c r="E51" s="64"/>
      <c r="F51" s="64"/>
      <c r="G51" s="64"/>
      <c r="H51" s="64"/>
      <c r="I51" s="64"/>
      <c r="J51" s="64"/>
      <c r="K51" s="64"/>
      <c r="L51" s="171"/>
    </row>
    <row r="52" spans="2:13" ht="15.75" x14ac:dyDescent="0.25"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161"/>
    </row>
    <row r="53" spans="2:13" ht="15.75" x14ac:dyDescent="0.25"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161"/>
    </row>
    <row r="54" spans="2:13" ht="15.75" x14ac:dyDescent="0.25">
      <c r="B54" s="172"/>
      <c r="C54" s="71"/>
      <c r="D54" s="71"/>
      <c r="E54" s="71"/>
      <c r="F54" s="71"/>
      <c r="G54" s="71"/>
      <c r="H54" s="71"/>
      <c r="I54" s="71"/>
      <c r="J54" s="71"/>
      <c r="K54" s="71"/>
      <c r="L54" s="173"/>
    </row>
    <row r="55" spans="2:13" ht="19.5" thickBot="1" x14ac:dyDescent="0.35">
      <c r="B55" s="218" t="s">
        <v>218</v>
      </c>
      <c r="C55" s="60"/>
      <c r="D55" s="60"/>
      <c r="E55" s="60"/>
      <c r="F55" s="60"/>
      <c r="G55" s="62"/>
      <c r="H55" s="60"/>
      <c r="I55" s="62"/>
      <c r="J55" s="62"/>
      <c r="K55" s="60"/>
      <c r="L55" s="225">
        <f>SUM(L44:L51)</f>
        <v>65467</v>
      </c>
    </row>
    <row r="56" spans="2:13" ht="16.5" thickTop="1" x14ac:dyDescent="0.25">
      <c r="B56" s="158"/>
      <c r="C56" s="60"/>
      <c r="D56" s="60"/>
      <c r="E56" s="62"/>
      <c r="F56" s="60"/>
      <c r="G56" s="62"/>
      <c r="H56" s="60"/>
      <c r="I56" s="62"/>
      <c r="J56" s="62"/>
      <c r="K56" s="60"/>
      <c r="L56" s="160"/>
    </row>
    <row r="57" spans="2:13" ht="15.75" x14ac:dyDescent="0.25">
      <c r="B57" s="158" t="s">
        <v>260</v>
      </c>
      <c r="C57" s="60"/>
      <c r="D57" s="60"/>
      <c r="E57" s="60"/>
      <c r="F57" s="60"/>
      <c r="G57" s="60"/>
      <c r="H57" s="60"/>
      <c r="I57" s="60"/>
      <c r="J57" s="60"/>
      <c r="K57" s="60"/>
      <c r="L57" s="152"/>
    </row>
    <row r="58" spans="2:13" ht="15.75" x14ac:dyDescent="0.25">
      <c r="B58" s="140"/>
      <c r="C58" s="64"/>
      <c r="D58" s="64"/>
      <c r="E58" s="64"/>
      <c r="F58" s="64"/>
      <c r="G58" s="64"/>
      <c r="H58" s="64"/>
      <c r="I58" s="64"/>
      <c r="J58" s="64"/>
      <c r="K58" s="64"/>
      <c r="L58" s="174"/>
    </row>
    <row r="59" spans="2:13" ht="15.75" x14ac:dyDescent="0.25">
      <c r="C59" s="60"/>
      <c r="D59" s="60"/>
      <c r="E59" s="60"/>
      <c r="F59" s="60"/>
      <c r="G59" s="60"/>
      <c r="H59" s="60"/>
      <c r="I59" s="60"/>
      <c r="J59" s="60"/>
      <c r="K59" s="60"/>
      <c r="L59" s="68"/>
    </row>
  </sheetData>
  <pageMargins left="0.7" right="0.7" top="0.75" bottom="0.75" header="0.3" footer="0.3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BC2AB-5D12-4580-8571-F3A7982EB721}">
  <sheetPr>
    <pageSetUpPr fitToPage="1"/>
  </sheetPr>
  <dimension ref="A1:R147"/>
  <sheetViews>
    <sheetView tabSelected="1" topLeftCell="A111" workbookViewId="0">
      <selection activeCell="M20" sqref="M20"/>
    </sheetView>
  </sheetViews>
  <sheetFormatPr defaultRowHeight="15" x14ac:dyDescent="0.25"/>
  <cols>
    <col min="1" max="1" width="13" customWidth="1"/>
    <col min="3" max="3" width="20.42578125" customWidth="1"/>
    <col min="5" max="5" width="8.42578125" customWidth="1"/>
    <col min="6" max="6" width="9.140625" hidden="1" customWidth="1"/>
    <col min="7" max="7" width="5.85546875" customWidth="1"/>
    <col min="8" max="8" width="14" customWidth="1"/>
    <col min="9" max="9" width="17.28515625" customWidth="1"/>
    <col min="10" max="10" width="14.140625" customWidth="1"/>
    <col min="11" max="11" width="13" customWidth="1"/>
    <col min="13" max="13" width="9.85546875" bestFit="1" customWidth="1"/>
  </cols>
  <sheetData>
    <row r="1" spans="1:12" ht="21" x14ac:dyDescent="0.35">
      <c r="A1" s="134" t="s">
        <v>254</v>
      </c>
    </row>
    <row r="2" spans="1:12" ht="6" customHeight="1" x14ac:dyDescent="0.25"/>
    <row r="3" spans="1:12" x14ac:dyDescent="0.25">
      <c r="A3" s="120" t="s">
        <v>225</v>
      </c>
    </row>
    <row r="5" spans="1:12" ht="15.75" x14ac:dyDescent="0.25">
      <c r="A5" s="63" t="s">
        <v>87</v>
      </c>
      <c r="B5" s="64"/>
      <c r="C5" s="60"/>
      <c r="D5" s="60"/>
      <c r="E5" s="60"/>
      <c r="F5" s="60"/>
      <c r="G5" s="60"/>
      <c r="H5" s="60"/>
      <c r="I5" s="60"/>
      <c r="J5" s="61"/>
      <c r="K5" s="61"/>
      <c r="L5" s="60"/>
    </row>
    <row r="6" spans="1:12" ht="15.75" x14ac:dyDescent="0.25">
      <c r="A6" s="62" t="s">
        <v>274</v>
      </c>
      <c r="B6" s="60"/>
      <c r="C6" s="60"/>
      <c r="D6" s="60"/>
      <c r="E6" s="60"/>
      <c r="F6" s="60"/>
      <c r="G6" s="60"/>
      <c r="H6" s="60"/>
      <c r="I6" s="60"/>
      <c r="J6" s="61"/>
      <c r="K6" s="61"/>
      <c r="L6" s="60"/>
    </row>
    <row r="7" spans="1:12" ht="15.75" x14ac:dyDescent="0.25">
      <c r="A7" s="60" t="s">
        <v>88</v>
      </c>
      <c r="B7" s="60"/>
      <c r="C7" s="60"/>
      <c r="D7" s="60"/>
      <c r="E7" s="60"/>
      <c r="F7" s="60"/>
      <c r="G7" s="60"/>
      <c r="H7" s="60"/>
      <c r="I7" s="60"/>
      <c r="J7" s="61"/>
      <c r="K7" s="61"/>
      <c r="L7" s="60"/>
    </row>
    <row r="8" spans="1:12" ht="15.75" x14ac:dyDescent="0.25">
      <c r="A8" s="60" t="s">
        <v>146</v>
      </c>
      <c r="B8" s="60"/>
      <c r="C8" s="60"/>
      <c r="D8" s="60"/>
      <c r="E8" s="60"/>
      <c r="F8" s="60"/>
      <c r="G8" s="60"/>
      <c r="H8" s="60"/>
      <c r="I8" s="60"/>
      <c r="J8" s="61"/>
      <c r="K8" s="61"/>
      <c r="L8" s="60"/>
    </row>
    <row r="9" spans="1:12" ht="15.75" x14ac:dyDescent="0.25">
      <c r="A9" s="60" t="s">
        <v>89</v>
      </c>
      <c r="B9" s="60"/>
      <c r="C9" s="60"/>
      <c r="D9" s="60"/>
      <c r="E9" s="60"/>
      <c r="F9" s="60"/>
      <c r="G9" s="60"/>
      <c r="H9" s="60"/>
      <c r="I9" s="60"/>
      <c r="J9" s="61"/>
      <c r="K9" s="61"/>
      <c r="L9" s="60"/>
    </row>
    <row r="10" spans="1:12" ht="15.75" x14ac:dyDescent="0.25">
      <c r="A10" s="60" t="s">
        <v>220</v>
      </c>
      <c r="B10" s="60"/>
      <c r="C10" s="60"/>
      <c r="D10" s="60"/>
      <c r="E10" s="60"/>
      <c r="F10" s="60"/>
      <c r="G10" s="60"/>
      <c r="H10" s="60"/>
      <c r="I10" s="60"/>
      <c r="J10" s="61"/>
      <c r="K10" s="61"/>
      <c r="L10" s="60"/>
    </row>
    <row r="11" spans="1:12" ht="15.75" x14ac:dyDescent="0.25">
      <c r="A11" s="60" t="s">
        <v>221</v>
      </c>
      <c r="B11" s="60"/>
      <c r="C11" s="60"/>
      <c r="D11" s="60"/>
      <c r="E11" s="60"/>
      <c r="F11" s="60"/>
      <c r="G11" s="60"/>
      <c r="H11" s="60"/>
      <c r="I11" s="60"/>
      <c r="J11" s="61"/>
      <c r="K11" s="61"/>
      <c r="L11" s="60"/>
    </row>
    <row r="12" spans="1:12" ht="15.75" x14ac:dyDescent="0.25">
      <c r="A12" s="60" t="s">
        <v>272</v>
      </c>
      <c r="B12" s="60"/>
      <c r="C12" s="60"/>
      <c r="D12" s="60"/>
      <c r="E12" s="60"/>
      <c r="F12" s="60"/>
      <c r="G12" s="60"/>
      <c r="H12" s="60"/>
      <c r="I12" s="60"/>
      <c r="J12" s="61"/>
      <c r="K12" s="61"/>
      <c r="L12" s="60"/>
    </row>
    <row r="13" spans="1:12" ht="15.75" x14ac:dyDescent="0.25">
      <c r="A13" s="60" t="s">
        <v>90</v>
      </c>
      <c r="B13" s="60"/>
      <c r="C13" s="60"/>
      <c r="D13" s="60"/>
      <c r="E13" s="60"/>
      <c r="F13" s="60"/>
      <c r="G13" s="60"/>
      <c r="H13" s="60"/>
      <c r="I13" s="60"/>
      <c r="J13" s="61"/>
      <c r="K13" s="61"/>
      <c r="L13" s="60"/>
    </row>
    <row r="14" spans="1:12" ht="15.75" x14ac:dyDescent="0.25">
      <c r="A14" s="60" t="s">
        <v>273</v>
      </c>
      <c r="B14" s="60"/>
      <c r="C14" s="60"/>
      <c r="D14" s="60"/>
      <c r="E14" s="60"/>
      <c r="F14" s="60"/>
      <c r="G14" s="60"/>
      <c r="H14" s="60"/>
      <c r="I14" s="60"/>
      <c r="J14" s="61"/>
      <c r="K14" s="61"/>
      <c r="L14" s="60"/>
    </row>
    <row r="15" spans="1:12" ht="15.75" x14ac:dyDescent="0.25">
      <c r="A15" s="62" t="s">
        <v>275</v>
      </c>
      <c r="B15" s="60"/>
      <c r="C15" s="60"/>
      <c r="D15" s="60"/>
      <c r="E15" s="60"/>
      <c r="F15" s="60"/>
      <c r="G15" s="60"/>
      <c r="H15" s="60"/>
      <c r="I15" s="60"/>
      <c r="J15" s="61"/>
      <c r="K15" s="61"/>
      <c r="L15" s="60"/>
    </row>
    <row r="16" spans="1:12" ht="15.75" x14ac:dyDescent="0.25">
      <c r="A16" s="60" t="s">
        <v>261</v>
      </c>
    </row>
    <row r="17" spans="1:12" ht="15.75" x14ac:dyDescent="0.25">
      <c r="A17" s="60" t="s">
        <v>262</v>
      </c>
      <c r="B17" s="60"/>
      <c r="C17" s="60"/>
      <c r="D17" s="60"/>
      <c r="E17" s="60"/>
      <c r="F17" s="60"/>
      <c r="G17" s="60"/>
      <c r="H17" s="60"/>
      <c r="I17" s="60"/>
      <c r="J17" s="61"/>
      <c r="K17" s="61"/>
      <c r="L17" s="60"/>
    </row>
    <row r="18" spans="1:12" ht="15.75" x14ac:dyDescent="0.25">
      <c r="A18" s="60" t="s">
        <v>276</v>
      </c>
    </row>
    <row r="19" spans="1:12" ht="15.75" x14ac:dyDescent="0.25">
      <c r="A19" s="60" t="s">
        <v>277</v>
      </c>
    </row>
    <row r="20" spans="1:12" ht="15.75" x14ac:dyDescent="0.25">
      <c r="A20" s="62" t="s">
        <v>278</v>
      </c>
    </row>
    <row r="21" spans="1:12" x14ac:dyDescent="0.25">
      <c r="A21" t="s">
        <v>279</v>
      </c>
    </row>
    <row r="22" spans="1:12" ht="15.75" x14ac:dyDescent="0.25">
      <c r="A22" s="60" t="s">
        <v>280</v>
      </c>
    </row>
    <row r="23" spans="1:12" ht="15.75" x14ac:dyDescent="0.25">
      <c r="A23" s="60"/>
    </row>
    <row r="24" spans="1:12" ht="15.75" x14ac:dyDescent="0.25">
      <c r="A24" s="60" t="s">
        <v>222</v>
      </c>
    </row>
    <row r="25" spans="1:12" ht="4.5" customHeight="1" x14ac:dyDescent="0.25">
      <c r="A25" s="60"/>
    </row>
    <row r="26" spans="1:12" ht="15.75" x14ac:dyDescent="0.25">
      <c r="A26" s="65"/>
      <c r="B26" s="60"/>
      <c r="C26" s="60"/>
      <c r="D26" s="60"/>
      <c r="E26" s="60"/>
      <c r="F26" s="60"/>
      <c r="G26" s="60"/>
      <c r="H26" s="272" t="s">
        <v>283</v>
      </c>
      <c r="I26" s="273"/>
      <c r="J26" s="61"/>
    </row>
    <row r="27" spans="1:12" ht="15.75" x14ac:dyDescent="0.25">
      <c r="A27" s="60" t="s">
        <v>282</v>
      </c>
      <c r="B27" s="60"/>
      <c r="C27" s="60"/>
      <c r="D27" s="60"/>
      <c r="E27" s="60"/>
      <c r="F27" s="60"/>
      <c r="G27" s="60"/>
      <c r="H27" s="61"/>
      <c r="I27" s="61">
        <v>297685.5</v>
      </c>
      <c r="J27" s="61"/>
    </row>
    <row r="28" spans="1:12" ht="15.75" x14ac:dyDescent="0.25">
      <c r="A28" s="60" t="s">
        <v>91</v>
      </c>
      <c r="B28" s="60"/>
      <c r="C28" s="60" t="s">
        <v>92</v>
      </c>
      <c r="D28" s="60"/>
      <c r="E28" s="60"/>
      <c r="F28" s="60"/>
      <c r="G28" s="60"/>
      <c r="H28" s="61">
        <v>-68283.78</v>
      </c>
      <c r="I28" s="61">
        <f t="shared" ref="I28:I39" si="0">+I27+H28</f>
        <v>229401.72</v>
      </c>
      <c r="J28" s="61"/>
    </row>
    <row r="29" spans="1:12" ht="15.75" x14ac:dyDescent="0.25">
      <c r="A29" s="60" t="s">
        <v>93</v>
      </c>
      <c r="B29" s="60"/>
      <c r="C29" s="60" t="s">
        <v>92</v>
      </c>
      <c r="D29" s="60"/>
      <c r="E29" s="60"/>
      <c r="F29" s="60"/>
      <c r="G29" s="60"/>
      <c r="H29" s="61">
        <v>-60526.44</v>
      </c>
      <c r="I29" s="61">
        <f t="shared" si="0"/>
        <v>168875.28</v>
      </c>
      <c r="J29" s="61"/>
    </row>
    <row r="30" spans="1:12" ht="15.75" x14ac:dyDescent="0.25">
      <c r="A30" s="60" t="s">
        <v>281</v>
      </c>
      <c r="B30" s="60"/>
      <c r="C30" s="60" t="s">
        <v>92</v>
      </c>
      <c r="D30" s="60"/>
      <c r="E30" s="60"/>
      <c r="F30" s="60"/>
      <c r="G30" s="60"/>
      <c r="H30" s="61">
        <v>-55923.51</v>
      </c>
      <c r="I30" s="61">
        <f t="shared" si="0"/>
        <v>112951.76999999999</v>
      </c>
      <c r="J30" s="61"/>
    </row>
    <row r="31" spans="1:12" ht="15.75" x14ac:dyDescent="0.25">
      <c r="A31" s="60" t="s">
        <v>141</v>
      </c>
      <c r="B31" s="60"/>
      <c r="C31" s="60"/>
      <c r="D31" s="60"/>
      <c r="E31" s="60"/>
      <c r="F31" s="60"/>
      <c r="G31" s="60"/>
      <c r="H31" s="61">
        <f>6.84+4980.16</f>
        <v>4987</v>
      </c>
      <c r="I31" s="61">
        <f t="shared" si="0"/>
        <v>117938.76999999999</v>
      </c>
      <c r="J31" s="61"/>
    </row>
    <row r="32" spans="1:12" ht="15.75" x14ac:dyDescent="0.25">
      <c r="A32" s="60" t="s">
        <v>94</v>
      </c>
      <c r="B32" s="60"/>
      <c r="C32" s="60" t="s">
        <v>92</v>
      </c>
      <c r="D32" s="60"/>
      <c r="E32" s="60"/>
      <c r="F32" s="60"/>
      <c r="G32" s="60"/>
      <c r="H32" s="61">
        <v>-29230.46</v>
      </c>
      <c r="I32" s="61">
        <f t="shared" si="0"/>
        <v>88708.31</v>
      </c>
      <c r="J32" s="61"/>
    </row>
    <row r="33" spans="1:12" ht="15.75" x14ac:dyDescent="0.25">
      <c r="A33" s="60" t="s">
        <v>95</v>
      </c>
      <c r="B33" s="60"/>
      <c r="C33" s="60" t="s">
        <v>96</v>
      </c>
      <c r="D33" s="60"/>
      <c r="E33" s="60"/>
      <c r="F33" s="60"/>
      <c r="G33" s="60"/>
      <c r="H33" s="61">
        <v>45370.47</v>
      </c>
      <c r="I33" s="61">
        <f t="shared" si="0"/>
        <v>134078.78</v>
      </c>
      <c r="J33" s="61"/>
    </row>
    <row r="34" spans="1:12" ht="15.75" x14ac:dyDescent="0.25">
      <c r="A34" s="60" t="s">
        <v>97</v>
      </c>
      <c r="B34" s="60"/>
      <c r="C34" s="60" t="s">
        <v>96</v>
      </c>
      <c r="D34" s="60"/>
      <c r="E34" s="60"/>
      <c r="F34" s="60"/>
      <c r="G34" s="60"/>
      <c r="H34" s="61">
        <v>91296.25</v>
      </c>
      <c r="I34" s="61">
        <f t="shared" si="0"/>
        <v>225375.03</v>
      </c>
      <c r="J34" s="61"/>
    </row>
    <row r="35" spans="1:12" ht="15.75" x14ac:dyDescent="0.25">
      <c r="A35" s="60" t="s">
        <v>98</v>
      </c>
      <c r="B35" s="60"/>
      <c r="C35" s="60" t="s">
        <v>92</v>
      </c>
      <c r="D35" s="60"/>
      <c r="E35" s="60"/>
      <c r="F35" s="60"/>
      <c r="G35" s="60"/>
      <c r="H35" s="61">
        <v>-35646.239999999998</v>
      </c>
      <c r="I35" s="61">
        <f t="shared" si="0"/>
        <v>189728.79</v>
      </c>
      <c r="J35" s="61"/>
    </row>
    <row r="36" spans="1:12" ht="15.75" x14ac:dyDescent="0.25">
      <c r="A36" s="60" t="s">
        <v>99</v>
      </c>
      <c r="B36" s="60"/>
      <c r="C36" s="274" t="s">
        <v>96</v>
      </c>
      <c r="D36" s="274"/>
      <c r="E36" s="274"/>
      <c r="F36" s="274"/>
      <c r="G36" s="60"/>
      <c r="H36" s="61">
        <v>1223.0899999999999</v>
      </c>
      <c r="I36" s="61">
        <f t="shared" si="0"/>
        <v>190951.88</v>
      </c>
      <c r="J36" s="61"/>
    </row>
    <row r="37" spans="1:12" ht="15.75" x14ac:dyDescent="0.25">
      <c r="A37" s="60" t="s">
        <v>147</v>
      </c>
      <c r="B37" s="60"/>
      <c r="C37" s="73" t="s">
        <v>92</v>
      </c>
      <c r="D37" s="74"/>
      <c r="E37" s="74"/>
      <c r="F37" s="74"/>
      <c r="G37" s="60"/>
      <c r="H37" s="61">
        <v>-3127.33</v>
      </c>
      <c r="I37" s="61">
        <f t="shared" si="0"/>
        <v>187824.55000000002</v>
      </c>
      <c r="J37" s="61"/>
    </row>
    <row r="38" spans="1:12" ht="15.75" x14ac:dyDescent="0.25">
      <c r="A38" s="60" t="s">
        <v>156</v>
      </c>
      <c r="B38" s="60"/>
      <c r="C38" s="73" t="s">
        <v>92</v>
      </c>
      <c r="D38" s="73"/>
      <c r="E38" s="74"/>
      <c r="F38" s="74"/>
      <c r="G38" s="60"/>
      <c r="H38" s="61">
        <v>-3473.6</v>
      </c>
      <c r="I38" s="61">
        <f t="shared" si="0"/>
        <v>184350.95</v>
      </c>
      <c r="J38" s="61"/>
    </row>
    <row r="39" spans="1:12" ht="15.75" x14ac:dyDescent="0.25">
      <c r="A39" s="60" t="s">
        <v>223</v>
      </c>
      <c r="B39" s="60"/>
      <c r="C39" s="73" t="s">
        <v>224</v>
      </c>
      <c r="D39" s="74"/>
      <c r="E39" s="74"/>
      <c r="F39" s="74"/>
      <c r="G39" s="60"/>
      <c r="H39" s="61">
        <v>-10327.31</v>
      </c>
      <c r="I39" s="107">
        <f t="shared" si="0"/>
        <v>174023.64</v>
      </c>
      <c r="J39" s="61"/>
      <c r="K39" s="137"/>
    </row>
    <row r="42" spans="1:12" ht="18.75" x14ac:dyDescent="0.3">
      <c r="A42" s="110" t="s">
        <v>296</v>
      </c>
      <c r="B42" s="60"/>
      <c r="C42" s="60"/>
      <c r="D42" s="60"/>
      <c r="E42" s="60"/>
      <c r="F42" s="60"/>
      <c r="G42" s="60"/>
      <c r="H42" s="60"/>
      <c r="I42" s="60"/>
      <c r="J42" s="60"/>
      <c r="K42" s="61"/>
      <c r="L42" s="60"/>
    </row>
    <row r="43" spans="1:12" ht="15.75" x14ac:dyDescent="0.25">
      <c r="A43" s="62"/>
      <c r="B43" s="60"/>
      <c r="C43" s="60"/>
      <c r="D43" s="60"/>
      <c r="E43" s="60"/>
      <c r="F43" s="60"/>
      <c r="G43" s="60"/>
      <c r="H43" s="60"/>
      <c r="I43" s="60"/>
      <c r="J43" s="61"/>
      <c r="K43" s="61"/>
      <c r="L43" s="60"/>
    </row>
    <row r="44" spans="1:12" ht="15.75" x14ac:dyDescent="0.25">
      <c r="A44" s="232" t="s">
        <v>297</v>
      </c>
      <c r="B44" s="233"/>
      <c r="C44" s="233"/>
      <c r="D44" s="233"/>
      <c r="E44" s="233"/>
      <c r="F44" s="233"/>
      <c r="G44" s="233"/>
      <c r="H44" s="233"/>
      <c r="I44" s="233"/>
      <c r="J44" s="234"/>
      <c r="K44" s="227" t="s">
        <v>100</v>
      </c>
      <c r="L44" s="60"/>
    </row>
    <row r="45" spans="1:12" ht="15.75" x14ac:dyDescent="0.25">
      <c r="A45" s="172"/>
      <c r="B45" s="71"/>
      <c r="C45" s="71"/>
      <c r="D45" s="71"/>
      <c r="E45" s="71"/>
      <c r="F45" s="71"/>
      <c r="G45" s="71"/>
      <c r="H45" s="71"/>
      <c r="I45" s="71"/>
      <c r="J45" s="67"/>
      <c r="K45" s="258"/>
      <c r="L45" s="60"/>
    </row>
    <row r="46" spans="1:12" ht="15.75" x14ac:dyDescent="0.25">
      <c r="A46" s="221" t="s">
        <v>101</v>
      </c>
      <c r="B46" s="65" t="s">
        <v>83</v>
      </c>
      <c r="C46" s="60"/>
      <c r="D46" s="60"/>
      <c r="E46" s="60"/>
      <c r="F46" s="60"/>
      <c r="G46" s="60"/>
      <c r="H46" s="60"/>
      <c r="I46" s="235" t="s">
        <v>226</v>
      </c>
      <c r="J46" s="235" t="s">
        <v>227</v>
      </c>
      <c r="K46" s="245"/>
      <c r="L46" s="60"/>
    </row>
    <row r="47" spans="1:12" ht="5.25" customHeight="1" x14ac:dyDescent="0.25">
      <c r="A47" s="158"/>
      <c r="B47" s="60"/>
      <c r="C47" s="60"/>
      <c r="D47" s="60"/>
      <c r="E47" s="60"/>
      <c r="F47" s="60"/>
      <c r="G47" s="60"/>
      <c r="H47" s="60"/>
      <c r="I47" s="60"/>
      <c r="J47" s="275"/>
      <c r="K47" s="276"/>
      <c r="L47" s="60"/>
    </row>
    <row r="48" spans="1:12" ht="15.75" x14ac:dyDescent="0.25">
      <c r="A48" s="244" t="s">
        <v>102</v>
      </c>
      <c r="B48" s="60" t="s">
        <v>50</v>
      </c>
      <c r="C48" s="60"/>
      <c r="D48" s="60"/>
      <c r="E48" s="60"/>
      <c r="F48" s="60"/>
      <c r="G48" s="60"/>
      <c r="H48" s="60"/>
      <c r="I48" s="60"/>
      <c r="K48" s="245"/>
      <c r="L48" s="60"/>
    </row>
    <row r="49" spans="1:15" ht="15.75" x14ac:dyDescent="0.25">
      <c r="A49" s="244"/>
      <c r="C49" s="60"/>
      <c r="D49" s="246" t="s">
        <v>287</v>
      </c>
      <c r="E49" s="60"/>
      <c r="F49" s="60"/>
      <c r="G49" s="60"/>
      <c r="H49" s="60"/>
      <c r="I49" s="228">
        <v>1589</v>
      </c>
      <c r="J49" s="228">
        <v>566</v>
      </c>
      <c r="K49" s="245"/>
      <c r="L49" s="60"/>
    </row>
    <row r="50" spans="1:15" ht="15.75" x14ac:dyDescent="0.25">
      <c r="A50" s="237">
        <v>1100</v>
      </c>
      <c r="B50" s="60"/>
      <c r="C50" s="60"/>
      <c r="D50" s="60"/>
      <c r="E50" s="60"/>
      <c r="F50" s="60"/>
      <c r="G50" s="60"/>
      <c r="H50" s="60"/>
      <c r="I50" s="229"/>
      <c r="J50" s="229"/>
      <c r="K50" s="245"/>
      <c r="L50" s="60"/>
    </row>
    <row r="51" spans="1:15" ht="15.75" x14ac:dyDescent="0.25">
      <c r="A51" s="237" t="s">
        <v>103</v>
      </c>
      <c r="B51" s="60" t="s">
        <v>285</v>
      </c>
      <c r="C51" s="60"/>
      <c r="D51" s="60" t="s">
        <v>286</v>
      </c>
      <c r="E51" s="60"/>
      <c r="F51" s="60"/>
      <c r="G51" s="60"/>
      <c r="H51" s="60"/>
      <c r="I51" s="229">
        <f>'Snelstart Jaarrkg 2025'!Q7+'Snelstart Jaarrkg 2025'!Q8+'Snelstart Jaarrkg 2025'!Q9+'Snelstart Jaarrkg 2025'!Q10+'Snelstart Jaarrkg 2025'!Q11+'Snelstart Jaarrkg 2025'!Q12</f>
        <v>216831.12999999998</v>
      </c>
      <c r="J51" s="229">
        <f>'Snelstart Jaarrkg 2025'!U7+'Snelstart Jaarrkg 2025'!U8+'Snelstart Jaarrkg 2025'!U9+'Snelstart Jaarrkg 2025'!U10+'Snelstart Jaarrkg 2025'!U11+'Snelstart Jaarrkg 2025'!U12</f>
        <v>176992.82</v>
      </c>
      <c r="K51" s="245"/>
      <c r="L51" s="60"/>
    </row>
    <row r="52" spans="1:15" ht="15.75" x14ac:dyDescent="0.25">
      <c r="A52" s="237">
        <v>1123</v>
      </c>
      <c r="B52" s="60"/>
      <c r="C52" s="60"/>
      <c r="D52" s="60"/>
      <c r="E52" s="60"/>
      <c r="F52" s="60"/>
      <c r="G52" s="60"/>
      <c r="H52" s="60"/>
      <c r="I52" s="229"/>
      <c r="J52" s="229"/>
      <c r="K52" s="245"/>
      <c r="L52" s="60"/>
    </row>
    <row r="53" spans="1:15" ht="15.75" x14ac:dyDescent="0.25">
      <c r="A53" s="237">
        <v>1298</v>
      </c>
      <c r="B53" s="60" t="s">
        <v>104</v>
      </c>
      <c r="C53" s="60"/>
      <c r="D53" s="60" t="s">
        <v>284</v>
      </c>
      <c r="F53" s="60"/>
      <c r="G53" s="60"/>
      <c r="H53" s="60"/>
      <c r="I53" s="229">
        <v>0</v>
      </c>
      <c r="J53" s="229">
        <f>'Snelstart Jaarrkg 2025'!U13</f>
        <v>0</v>
      </c>
      <c r="K53" s="245"/>
      <c r="L53" s="60"/>
    </row>
    <row r="54" spans="1:15" ht="15.75" x14ac:dyDescent="0.25">
      <c r="A54" s="237">
        <v>1301</v>
      </c>
      <c r="B54" s="60" t="s">
        <v>105</v>
      </c>
      <c r="C54" s="60"/>
      <c r="D54" s="60"/>
      <c r="E54" s="60"/>
      <c r="F54" s="68" t="s">
        <v>106</v>
      </c>
      <c r="G54" s="60"/>
      <c r="H54" s="60"/>
      <c r="I54" s="229">
        <v>350</v>
      </c>
      <c r="J54" s="229">
        <f>'Snelstart Jaarrkg 2025'!U14</f>
        <v>657.5</v>
      </c>
      <c r="K54" s="245"/>
      <c r="L54" s="60"/>
    </row>
    <row r="55" spans="1:15" ht="15.75" x14ac:dyDescent="0.25">
      <c r="A55" s="237">
        <v>1302</v>
      </c>
      <c r="B55" s="60" t="s">
        <v>157</v>
      </c>
      <c r="C55" s="60"/>
      <c r="D55" s="60"/>
      <c r="E55" s="60"/>
      <c r="F55" s="68"/>
      <c r="G55" s="60"/>
      <c r="H55" s="60"/>
      <c r="I55" s="229">
        <v>259.63</v>
      </c>
      <c r="J55" s="229">
        <f>'Snelstart Jaarrkg 2025'!U15</f>
        <v>0</v>
      </c>
      <c r="K55" s="245"/>
      <c r="L55" s="60"/>
    </row>
    <row r="56" spans="1:15" ht="15.75" x14ac:dyDescent="0.25">
      <c r="A56" s="237"/>
      <c r="B56" s="60"/>
      <c r="C56" s="60"/>
      <c r="D56" s="60"/>
      <c r="E56" s="60"/>
      <c r="F56" s="68"/>
      <c r="G56" s="60"/>
      <c r="H56" s="60"/>
      <c r="I56" s="230"/>
      <c r="J56" s="230"/>
      <c r="K56" s="245"/>
      <c r="L56" s="60"/>
    </row>
    <row r="57" spans="1:15" ht="16.5" thickBot="1" x14ac:dyDescent="0.3">
      <c r="A57" s="250" t="s">
        <v>289</v>
      </c>
      <c r="B57" s="239"/>
      <c r="C57" s="60"/>
      <c r="D57" s="60"/>
      <c r="E57" s="60"/>
      <c r="F57" s="60"/>
      <c r="G57" s="60"/>
      <c r="H57" s="60"/>
      <c r="I57" s="231">
        <f>SUM(I49:I55)</f>
        <v>219029.75999999998</v>
      </c>
      <c r="J57" s="231">
        <f>SUM(J49:J55)</f>
        <v>178216.32000000001</v>
      </c>
      <c r="K57" s="245"/>
      <c r="L57" s="60"/>
      <c r="O57" s="1"/>
    </row>
    <row r="58" spans="1:15" ht="16.5" thickTop="1" x14ac:dyDescent="0.25">
      <c r="A58" s="164"/>
      <c r="B58" s="64"/>
      <c r="C58" s="64"/>
      <c r="D58" s="64"/>
      <c r="E58" s="64"/>
      <c r="F58" s="64"/>
      <c r="G58" s="64"/>
      <c r="H58" s="64"/>
      <c r="I58" s="64"/>
      <c r="J58" s="240"/>
      <c r="K58" s="241"/>
      <c r="L58" s="60"/>
    </row>
    <row r="59" spans="1:15" ht="15.75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1"/>
      <c r="K59" s="61"/>
      <c r="L59" s="60"/>
    </row>
    <row r="60" spans="1:15" ht="15.75" x14ac:dyDescent="0.25">
      <c r="A60" s="232" t="s">
        <v>297</v>
      </c>
      <c r="B60" s="233"/>
      <c r="C60" s="233"/>
      <c r="D60" s="233"/>
      <c r="E60" s="233"/>
      <c r="F60" s="233"/>
      <c r="G60" s="233"/>
      <c r="H60" s="233"/>
      <c r="I60" s="233"/>
      <c r="J60" s="234"/>
      <c r="K60" s="227" t="s">
        <v>107</v>
      </c>
    </row>
    <row r="61" spans="1:15" ht="15.75" x14ac:dyDescent="0.25">
      <c r="A61" s="169"/>
      <c r="B61" s="71"/>
      <c r="C61" s="71"/>
      <c r="D61" s="71"/>
      <c r="E61" s="71"/>
      <c r="F61" s="71"/>
      <c r="G61" s="71"/>
      <c r="H61" s="71"/>
      <c r="I61" s="71"/>
      <c r="J61" s="67"/>
      <c r="K61" s="259"/>
    </row>
    <row r="62" spans="1:15" ht="15.75" x14ac:dyDescent="0.25">
      <c r="A62" s="221" t="s">
        <v>101</v>
      </c>
      <c r="B62" s="65" t="s">
        <v>83</v>
      </c>
      <c r="C62" s="60"/>
      <c r="D62" s="60"/>
      <c r="E62" s="60"/>
      <c r="F62" s="60"/>
      <c r="G62" s="60"/>
      <c r="H62" s="60"/>
      <c r="I62" s="235" t="s">
        <v>226</v>
      </c>
      <c r="J62" s="235" t="s">
        <v>227</v>
      </c>
      <c r="K62" s="245"/>
    </row>
    <row r="63" spans="1:15" ht="15.75" x14ac:dyDescent="0.25">
      <c r="A63" s="221"/>
      <c r="B63" s="65"/>
      <c r="C63" s="60"/>
      <c r="D63" s="60"/>
      <c r="E63" s="60"/>
      <c r="F63" s="60"/>
      <c r="G63" s="60"/>
      <c r="H63" s="60"/>
      <c r="I63" s="235"/>
      <c r="J63" s="235"/>
      <c r="K63" s="245"/>
    </row>
    <row r="64" spans="1:15" ht="15.75" x14ac:dyDescent="0.25">
      <c r="A64" s="237">
        <v>1298</v>
      </c>
      <c r="B64" s="60" t="s">
        <v>104</v>
      </c>
      <c r="C64" s="60"/>
      <c r="D64" s="60" t="s">
        <v>148</v>
      </c>
      <c r="E64" s="60"/>
      <c r="F64" s="60"/>
      <c r="G64" s="60"/>
      <c r="H64" s="60"/>
      <c r="I64" s="228">
        <v>0</v>
      </c>
      <c r="J64" s="228">
        <v>0</v>
      </c>
      <c r="K64" s="245"/>
    </row>
    <row r="65" spans="1:13" ht="15.75" x14ac:dyDescent="0.25">
      <c r="A65" s="237">
        <v>1303</v>
      </c>
      <c r="B65" s="60" t="s">
        <v>108</v>
      </c>
      <c r="C65" s="60"/>
      <c r="D65" s="60" t="s">
        <v>106</v>
      </c>
      <c r="E65" s="238"/>
      <c r="F65" s="60"/>
      <c r="H65" s="60"/>
      <c r="I65" s="229">
        <v>30215</v>
      </c>
      <c r="J65" s="229">
        <f>'Snelstart Jaarrkg 2025'!U20</f>
        <v>0</v>
      </c>
      <c r="K65" s="245"/>
    </row>
    <row r="66" spans="1:13" ht="15.75" x14ac:dyDescent="0.25">
      <c r="A66" s="237">
        <v>1304</v>
      </c>
      <c r="B66" s="60" t="s">
        <v>109</v>
      </c>
      <c r="C66" s="60"/>
      <c r="D66" s="69" t="s">
        <v>106</v>
      </c>
      <c r="E66" s="69"/>
      <c r="F66" s="69"/>
      <c r="H66" s="60"/>
      <c r="I66" s="229">
        <v>4463.8100000000004</v>
      </c>
      <c r="J66" s="229">
        <f>'Snelstart Jaarrkg 2025'!U21</f>
        <v>4192.68</v>
      </c>
      <c r="K66" s="245"/>
    </row>
    <row r="67" spans="1:13" ht="15.75" x14ac:dyDescent="0.25">
      <c r="A67" s="237">
        <v>2000</v>
      </c>
      <c r="B67" s="60" t="s">
        <v>110</v>
      </c>
      <c r="C67" s="60"/>
      <c r="D67" s="60" t="s">
        <v>292</v>
      </c>
      <c r="F67" s="60"/>
      <c r="G67" s="60"/>
      <c r="H67" s="60"/>
      <c r="I67" s="229">
        <v>184350.95</v>
      </c>
      <c r="J67" s="229">
        <f>'Snelstart Jaarrkg 2025'!U22</f>
        <v>174023.64</v>
      </c>
      <c r="K67" s="245"/>
      <c r="M67" s="137"/>
    </row>
    <row r="68" spans="1:13" ht="15.75" x14ac:dyDescent="0.25">
      <c r="A68" s="237"/>
      <c r="B68" s="60"/>
      <c r="C68" s="60"/>
      <c r="D68" s="60"/>
      <c r="F68" s="60"/>
      <c r="G68" s="60"/>
      <c r="H68" s="60"/>
      <c r="I68" s="229"/>
      <c r="J68" s="229"/>
      <c r="K68" s="245"/>
      <c r="M68" s="137"/>
    </row>
    <row r="69" spans="1:13" ht="16.5" thickBot="1" x14ac:dyDescent="0.3">
      <c r="A69" s="250" t="s">
        <v>290</v>
      </c>
      <c r="B69" s="239"/>
      <c r="C69" s="60"/>
      <c r="D69" s="60"/>
      <c r="E69" s="60"/>
      <c r="F69" s="60"/>
      <c r="G69" s="60"/>
      <c r="H69" s="60"/>
      <c r="I69" s="231">
        <f>SUM(I64:I67)</f>
        <v>219029.76000000001</v>
      </c>
      <c r="J69" s="231">
        <f>SUM(J64:J67)</f>
        <v>178216.32000000001</v>
      </c>
      <c r="K69" s="245"/>
    </row>
    <row r="70" spans="1:13" ht="16.5" thickTop="1" x14ac:dyDescent="0.25">
      <c r="A70" s="164"/>
      <c r="B70" s="64"/>
      <c r="C70" s="64"/>
      <c r="D70" s="64"/>
      <c r="E70" s="64"/>
      <c r="F70" s="64"/>
      <c r="G70" s="64"/>
      <c r="H70" s="64"/>
      <c r="I70" s="64"/>
      <c r="J70" s="240"/>
      <c r="K70" s="241"/>
    </row>
    <row r="71" spans="1:13" ht="15.75" x14ac:dyDescent="0.25">
      <c r="A71" s="60"/>
      <c r="B71" s="60"/>
      <c r="C71" s="60"/>
      <c r="D71" s="60"/>
      <c r="E71" s="60"/>
      <c r="F71" s="60"/>
      <c r="G71" s="60"/>
      <c r="H71" s="60"/>
      <c r="I71" s="60"/>
      <c r="J71" s="61"/>
      <c r="K71" s="61"/>
    </row>
    <row r="73" spans="1:13" ht="15.75" x14ac:dyDescent="0.25">
      <c r="A73" s="232" t="s">
        <v>291</v>
      </c>
      <c r="B73" s="233"/>
      <c r="C73" s="233"/>
      <c r="D73" s="233"/>
      <c r="E73" s="233"/>
      <c r="F73" s="233"/>
      <c r="G73" s="233"/>
      <c r="H73" s="233"/>
      <c r="I73" s="233"/>
      <c r="J73" s="234"/>
      <c r="K73" s="247" t="s">
        <v>111</v>
      </c>
    </row>
    <row r="74" spans="1:13" ht="15.75" x14ac:dyDescent="0.25">
      <c r="A74" s="159"/>
      <c r="B74" s="60"/>
      <c r="C74" s="60"/>
      <c r="D74" s="60"/>
      <c r="E74" s="60"/>
      <c r="F74" s="60"/>
      <c r="G74" s="60"/>
      <c r="H74" s="60"/>
      <c r="I74" s="60"/>
      <c r="J74" s="243"/>
      <c r="K74" s="242"/>
    </row>
    <row r="75" spans="1:13" ht="15.75" x14ac:dyDescent="0.25">
      <c r="A75" s="250" t="s">
        <v>112</v>
      </c>
      <c r="B75" s="60"/>
      <c r="C75" s="60"/>
      <c r="D75" s="60"/>
      <c r="E75" s="60"/>
      <c r="F75" s="60"/>
      <c r="G75" s="60"/>
      <c r="H75" s="60"/>
      <c r="I75" s="248" t="s">
        <v>113</v>
      </c>
      <c r="J75" s="249" t="s">
        <v>114</v>
      </c>
      <c r="K75" s="236"/>
    </row>
    <row r="76" spans="1:13" ht="15.75" x14ac:dyDescent="0.25">
      <c r="A76" s="250"/>
      <c r="B76" s="60"/>
      <c r="C76" s="60"/>
      <c r="D76" s="60"/>
      <c r="E76" s="60"/>
      <c r="F76" s="60"/>
      <c r="G76" s="60"/>
      <c r="H76" s="60"/>
      <c r="I76" s="60"/>
      <c r="J76" s="235"/>
      <c r="K76" s="236"/>
    </row>
    <row r="77" spans="1:13" ht="15.75" x14ac:dyDescent="0.25">
      <c r="A77" s="237">
        <v>4001</v>
      </c>
      <c r="B77" s="70" t="s">
        <v>5</v>
      </c>
      <c r="C77" s="60" t="s">
        <v>115</v>
      </c>
      <c r="D77" s="60"/>
      <c r="E77" s="60"/>
      <c r="F77" s="60"/>
      <c r="G77" s="60"/>
      <c r="H77" s="60"/>
      <c r="I77" s="60"/>
      <c r="J77" s="61">
        <v>1286.04</v>
      </c>
      <c r="K77" s="242"/>
    </row>
    <row r="78" spans="1:13" ht="15.75" x14ac:dyDescent="0.25">
      <c r="A78" s="237">
        <v>4005</v>
      </c>
      <c r="B78" s="68" t="s">
        <v>116</v>
      </c>
      <c r="C78" s="60" t="s">
        <v>117</v>
      </c>
      <c r="D78" s="60"/>
      <c r="E78" s="60"/>
      <c r="F78" s="60"/>
      <c r="G78" s="60"/>
      <c r="H78" s="60"/>
      <c r="I78" s="61"/>
      <c r="J78" s="61">
        <v>150.69</v>
      </c>
      <c r="K78" s="242"/>
    </row>
    <row r="79" spans="1:13" ht="15.75" x14ac:dyDescent="0.25">
      <c r="A79" s="237">
        <v>4006</v>
      </c>
      <c r="B79" s="68" t="s">
        <v>116</v>
      </c>
      <c r="C79" s="60" t="s">
        <v>118</v>
      </c>
      <c r="D79" s="60"/>
      <c r="E79" s="60"/>
      <c r="F79" s="60"/>
      <c r="G79" s="60"/>
      <c r="H79" s="60"/>
      <c r="I79" s="61"/>
      <c r="J79" s="61">
        <v>0</v>
      </c>
      <c r="K79" s="242"/>
    </row>
    <row r="80" spans="1:13" ht="15.75" x14ac:dyDescent="0.25">
      <c r="A80" s="237">
        <v>4009</v>
      </c>
      <c r="B80" s="68" t="s">
        <v>116</v>
      </c>
      <c r="C80" s="60" t="s">
        <v>119</v>
      </c>
      <c r="D80" s="60"/>
      <c r="E80" s="60"/>
      <c r="F80" s="60"/>
      <c r="G80" s="60"/>
      <c r="H80" s="60"/>
      <c r="I80" s="61"/>
      <c r="J80" s="61">
        <v>81.900000000000006</v>
      </c>
      <c r="K80" s="242"/>
    </row>
    <row r="81" spans="1:11" ht="15.75" x14ac:dyDescent="0.25">
      <c r="A81" s="237">
        <v>4011</v>
      </c>
      <c r="B81" s="68" t="s">
        <v>116</v>
      </c>
      <c r="C81" s="60" t="s">
        <v>120</v>
      </c>
      <c r="D81" s="60"/>
      <c r="E81" s="60"/>
      <c r="F81" s="60"/>
      <c r="G81" s="60"/>
      <c r="H81" s="60"/>
      <c r="I81" s="61"/>
      <c r="J81" s="61">
        <v>450.1</v>
      </c>
      <c r="K81" s="242"/>
    </row>
    <row r="82" spans="1:11" ht="15.75" x14ac:dyDescent="0.25">
      <c r="A82" s="237">
        <v>4015</v>
      </c>
      <c r="B82" s="68" t="s">
        <v>116</v>
      </c>
      <c r="C82" s="60" t="s">
        <v>121</v>
      </c>
      <c r="D82" s="60"/>
      <c r="E82" s="60"/>
      <c r="F82" s="60"/>
      <c r="G82" s="60"/>
      <c r="H82" s="60"/>
      <c r="I82" s="61"/>
      <c r="J82" s="61">
        <v>129</v>
      </c>
      <c r="K82" s="242"/>
    </row>
    <row r="83" spans="1:11" ht="15.75" x14ac:dyDescent="0.25">
      <c r="A83" s="158"/>
      <c r="B83" s="68" t="s">
        <v>5</v>
      </c>
      <c r="C83" s="60" t="s">
        <v>86</v>
      </c>
      <c r="D83" s="60"/>
      <c r="E83" s="60"/>
      <c r="F83" s="60"/>
      <c r="G83" s="60"/>
      <c r="H83" s="60"/>
      <c r="I83" s="108">
        <v>3000</v>
      </c>
      <c r="J83" s="108">
        <f>SUM(J77:J82)</f>
        <v>2097.73</v>
      </c>
      <c r="K83" s="251"/>
    </row>
    <row r="84" spans="1:11" ht="15.75" x14ac:dyDescent="0.25">
      <c r="A84" s="158"/>
      <c r="B84" s="60"/>
      <c r="C84" s="60"/>
      <c r="D84" s="60"/>
      <c r="E84" s="60"/>
      <c r="F84" s="60"/>
      <c r="G84" s="60"/>
      <c r="H84" s="60"/>
      <c r="I84" s="61"/>
      <c r="J84" s="61"/>
      <c r="K84" s="242"/>
    </row>
    <row r="85" spans="1:11" ht="15.75" x14ac:dyDescent="0.25">
      <c r="A85" s="237">
        <v>4002</v>
      </c>
      <c r="B85" s="70" t="s">
        <v>2</v>
      </c>
      <c r="C85" s="60" t="s">
        <v>115</v>
      </c>
      <c r="D85" s="60"/>
      <c r="E85" s="60"/>
      <c r="F85" s="60"/>
      <c r="G85" s="60"/>
      <c r="H85" s="252"/>
      <c r="I85" s="61"/>
      <c r="J85" s="61">
        <v>1170.3499999999999</v>
      </c>
      <c r="K85" s="242"/>
    </row>
    <row r="86" spans="1:11" ht="15.75" x14ac:dyDescent="0.25">
      <c r="A86" s="237">
        <v>4004</v>
      </c>
      <c r="B86" s="68" t="s">
        <v>116</v>
      </c>
      <c r="C86" s="60" t="s">
        <v>228</v>
      </c>
      <c r="D86" s="60"/>
      <c r="E86" s="60"/>
      <c r="F86" s="60"/>
      <c r="G86" s="60"/>
      <c r="H86" s="252"/>
      <c r="I86" s="61"/>
      <c r="J86" s="61">
        <v>0</v>
      </c>
      <c r="K86" s="242"/>
    </row>
    <row r="87" spans="1:11" ht="15.75" x14ac:dyDescent="0.25">
      <c r="A87" s="237">
        <v>4005</v>
      </c>
      <c r="B87" s="68" t="s">
        <v>116</v>
      </c>
      <c r="C87" s="60" t="s">
        <v>117</v>
      </c>
      <c r="D87" s="60"/>
      <c r="E87" s="60"/>
      <c r="F87" s="60"/>
      <c r="G87" s="60"/>
      <c r="H87" s="60"/>
      <c r="I87" s="61"/>
      <c r="J87" s="61">
        <v>142.4</v>
      </c>
      <c r="K87" s="242"/>
    </row>
    <row r="88" spans="1:11" ht="15.75" x14ac:dyDescent="0.25">
      <c r="A88" s="237">
        <v>4006</v>
      </c>
      <c r="B88" s="68" t="s">
        <v>116</v>
      </c>
      <c r="C88" s="60" t="s">
        <v>118</v>
      </c>
      <c r="D88" s="60"/>
      <c r="E88" s="60"/>
      <c r="F88" s="60"/>
      <c r="G88" s="60"/>
      <c r="H88" s="60"/>
      <c r="I88" s="61"/>
      <c r="J88" s="61">
        <v>947.7</v>
      </c>
      <c r="K88" s="242"/>
    </row>
    <row r="89" spans="1:11" ht="15.75" x14ac:dyDescent="0.25">
      <c r="A89" s="237">
        <v>4009</v>
      </c>
      <c r="B89" s="68" t="s">
        <v>116</v>
      </c>
      <c r="C89" s="60" t="s">
        <v>119</v>
      </c>
      <c r="D89" s="60"/>
      <c r="E89" s="60"/>
      <c r="F89" s="60"/>
      <c r="G89" s="60"/>
      <c r="H89" s="60"/>
      <c r="I89" s="61"/>
      <c r="J89" s="61"/>
      <c r="K89" s="242"/>
    </row>
    <row r="90" spans="1:11" ht="15.75" x14ac:dyDescent="0.25">
      <c r="A90" s="237">
        <v>4015</v>
      </c>
      <c r="B90" s="68" t="s">
        <v>116</v>
      </c>
      <c r="C90" s="60" t="s">
        <v>121</v>
      </c>
      <c r="D90" s="60"/>
      <c r="E90" s="60"/>
      <c r="F90" s="60"/>
      <c r="G90" s="60"/>
      <c r="H90" s="60"/>
      <c r="I90" s="61"/>
      <c r="J90" s="61"/>
      <c r="K90" s="242"/>
    </row>
    <row r="91" spans="1:11" ht="15.75" x14ac:dyDescent="0.25">
      <c r="A91" s="158"/>
      <c r="B91" s="68" t="s">
        <v>2</v>
      </c>
      <c r="C91" s="60" t="s">
        <v>86</v>
      </c>
      <c r="D91" s="60"/>
      <c r="E91" s="60"/>
      <c r="F91" s="60"/>
      <c r="G91" s="60"/>
      <c r="H91" s="60"/>
      <c r="I91" s="108">
        <v>2000</v>
      </c>
      <c r="J91" s="108">
        <f>SUM(J85:J90)</f>
        <v>2260.4499999999998</v>
      </c>
      <c r="K91" s="251"/>
    </row>
    <row r="92" spans="1:11" ht="15.75" x14ac:dyDescent="0.25">
      <c r="A92" s="158"/>
      <c r="B92" s="60"/>
      <c r="C92" t="s">
        <v>140</v>
      </c>
      <c r="D92" s="253"/>
      <c r="E92" s="253"/>
      <c r="F92" s="253"/>
      <c r="G92" s="253"/>
      <c r="H92" s="253"/>
      <c r="I92" s="61"/>
      <c r="J92" s="61"/>
      <c r="K92" s="242"/>
    </row>
    <row r="93" spans="1:11" x14ac:dyDescent="0.25">
      <c r="A93" s="98"/>
      <c r="K93" s="245"/>
    </row>
    <row r="94" spans="1:11" ht="15.75" x14ac:dyDescent="0.25">
      <c r="A94" s="237">
        <v>4003</v>
      </c>
      <c r="B94" s="70" t="s">
        <v>3</v>
      </c>
      <c r="C94" s="60" t="s">
        <v>115</v>
      </c>
      <c r="D94" s="60"/>
      <c r="E94" s="60"/>
      <c r="F94" s="60"/>
      <c r="G94" s="60"/>
      <c r="H94" s="60"/>
      <c r="I94" s="61"/>
      <c r="J94" s="61">
        <v>3080.06</v>
      </c>
      <c r="K94" s="242"/>
    </row>
    <row r="95" spans="1:11" ht="15.75" x14ac:dyDescent="0.25">
      <c r="A95" s="237">
        <v>4004</v>
      </c>
      <c r="B95" s="70" t="s">
        <v>116</v>
      </c>
      <c r="C95" s="60" t="s">
        <v>228</v>
      </c>
      <c r="D95" s="60"/>
      <c r="E95" s="60"/>
      <c r="F95" s="60"/>
      <c r="G95" s="60"/>
      <c r="H95" s="60"/>
      <c r="I95" s="61"/>
      <c r="J95" s="61"/>
      <c r="K95" s="242"/>
    </row>
    <row r="96" spans="1:11" ht="15.75" x14ac:dyDescent="0.25">
      <c r="A96" s="237">
        <v>4005</v>
      </c>
      <c r="B96" s="68" t="s">
        <v>116</v>
      </c>
      <c r="C96" s="60" t="s">
        <v>117</v>
      </c>
      <c r="D96" s="60"/>
      <c r="E96" s="60"/>
      <c r="F96" s="60"/>
      <c r="G96" s="60"/>
      <c r="H96" s="60"/>
      <c r="I96" s="61"/>
      <c r="J96" s="61">
        <v>174.43</v>
      </c>
      <c r="K96" s="242"/>
    </row>
    <row r="97" spans="1:11" ht="15.75" x14ac:dyDescent="0.25">
      <c r="A97" s="237">
        <v>4006</v>
      </c>
      <c r="B97" s="68" t="s">
        <v>116</v>
      </c>
      <c r="C97" s="60" t="s">
        <v>118</v>
      </c>
      <c r="D97" s="60"/>
      <c r="E97" s="60"/>
      <c r="F97" s="60"/>
      <c r="G97" s="60"/>
      <c r="H97" s="60"/>
      <c r="I97" s="61"/>
      <c r="J97" s="61">
        <v>1411.78</v>
      </c>
      <c r="K97" s="242"/>
    </row>
    <row r="98" spans="1:11" ht="15.75" x14ac:dyDescent="0.25">
      <c r="A98" s="237">
        <v>4011</v>
      </c>
      <c r="B98" s="68" t="s">
        <v>116</v>
      </c>
      <c r="C98" s="60" t="s">
        <v>120</v>
      </c>
      <c r="D98" s="60"/>
      <c r="E98" s="60"/>
      <c r="F98" s="60"/>
      <c r="G98" s="60"/>
      <c r="H98" s="60"/>
      <c r="I98" s="61"/>
      <c r="J98" s="61">
        <v>352.54</v>
      </c>
      <c r="K98" s="242"/>
    </row>
    <row r="99" spans="1:11" ht="15.75" x14ac:dyDescent="0.25">
      <c r="A99" s="158"/>
      <c r="B99" s="68" t="s">
        <v>3</v>
      </c>
      <c r="C99" s="60" t="s">
        <v>86</v>
      </c>
      <c r="D99" s="60"/>
      <c r="E99" s="60"/>
      <c r="F99" s="60"/>
      <c r="G99" s="60"/>
      <c r="H99" s="60"/>
      <c r="I99" s="108">
        <v>4000</v>
      </c>
      <c r="J99" s="108">
        <f>SUM(J94:J98)</f>
        <v>5018.8099999999995</v>
      </c>
      <c r="K99" s="251"/>
    </row>
    <row r="100" spans="1:11" ht="15.75" x14ac:dyDescent="0.25">
      <c r="A100" s="158"/>
      <c r="B100" s="60"/>
      <c r="C100" s="60"/>
      <c r="D100" s="60"/>
      <c r="E100" s="60"/>
      <c r="F100" s="60"/>
      <c r="G100" s="60"/>
      <c r="H100" s="60"/>
      <c r="I100" s="61"/>
      <c r="J100" s="61"/>
      <c r="K100" s="242"/>
    </row>
    <row r="101" spans="1:11" ht="15.75" x14ac:dyDescent="0.25">
      <c r="A101" s="237">
        <v>4004</v>
      </c>
      <c r="B101" s="70" t="s">
        <v>122</v>
      </c>
      <c r="C101" s="60" t="s">
        <v>115</v>
      </c>
      <c r="D101" s="60"/>
      <c r="E101" s="60"/>
      <c r="F101" s="60"/>
      <c r="G101" s="60"/>
      <c r="H101" s="60"/>
      <c r="I101" s="61"/>
      <c r="J101" s="61">
        <v>1371</v>
      </c>
      <c r="K101" s="242"/>
    </row>
    <row r="102" spans="1:11" ht="15.75" x14ac:dyDescent="0.25">
      <c r="A102" s="237">
        <v>4005</v>
      </c>
      <c r="B102" s="68" t="s">
        <v>116</v>
      </c>
      <c r="C102" s="60" t="s">
        <v>117</v>
      </c>
      <c r="D102" s="60"/>
      <c r="E102" s="60"/>
      <c r="F102" s="60"/>
      <c r="G102" s="60"/>
      <c r="H102" s="60"/>
      <c r="I102" s="61"/>
      <c r="J102" s="61">
        <v>800.65</v>
      </c>
      <c r="K102" s="242"/>
    </row>
    <row r="103" spans="1:11" ht="15.75" x14ac:dyDescent="0.25">
      <c r="A103" s="237">
        <v>4006</v>
      </c>
      <c r="B103" s="68" t="s">
        <v>116</v>
      </c>
      <c r="C103" s="60" t="s">
        <v>118</v>
      </c>
      <c r="D103" s="60"/>
      <c r="E103" s="60"/>
      <c r="F103" s="60"/>
      <c r="G103" s="60"/>
      <c r="H103" s="60"/>
      <c r="I103" s="61"/>
      <c r="J103" s="61">
        <v>2310.46</v>
      </c>
      <c r="K103" s="242"/>
    </row>
    <row r="104" spans="1:11" ht="15.75" x14ac:dyDescent="0.25">
      <c r="A104" s="237">
        <v>4007</v>
      </c>
      <c r="B104" s="68" t="s">
        <v>116</v>
      </c>
      <c r="C104" s="60" t="s">
        <v>149</v>
      </c>
      <c r="D104" s="60"/>
      <c r="E104" s="60"/>
      <c r="F104" s="60"/>
      <c r="G104" s="60"/>
      <c r="H104" s="60"/>
      <c r="I104" s="61"/>
      <c r="J104" s="61">
        <v>0</v>
      </c>
      <c r="K104" s="242"/>
    </row>
    <row r="105" spans="1:11" ht="15.75" x14ac:dyDescent="0.25">
      <c r="A105" s="237">
        <v>4009</v>
      </c>
      <c r="B105" s="68" t="s">
        <v>116</v>
      </c>
      <c r="C105" s="60" t="s">
        <v>119</v>
      </c>
      <c r="D105" s="60"/>
      <c r="E105" s="60"/>
      <c r="F105" s="60"/>
      <c r="G105" s="60"/>
      <c r="H105" s="60"/>
      <c r="I105" s="61"/>
      <c r="J105" s="61">
        <v>2564.42</v>
      </c>
      <c r="K105" s="242"/>
    </row>
    <row r="106" spans="1:11" ht="15.75" x14ac:dyDescent="0.25">
      <c r="A106" s="237">
        <v>4011</v>
      </c>
      <c r="B106" s="68" t="s">
        <v>116</v>
      </c>
      <c r="C106" s="60" t="s">
        <v>120</v>
      </c>
      <c r="D106" s="60"/>
      <c r="E106" s="60"/>
      <c r="F106" s="60"/>
      <c r="G106" s="60"/>
      <c r="H106" s="60"/>
      <c r="I106" s="61"/>
      <c r="J106" s="61">
        <v>205.75</v>
      </c>
      <c r="K106" s="242"/>
    </row>
    <row r="107" spans="1:11" ht="15.75" x14ac:dyDescent="0.25">
      <c r="A107" s="237">
        <v>4015</v>
      </c>
      <c r="B107" s="68" t="s">
        <v>123</v>
      </c>
      <c r="C107" s="60" t="s">
        <v>121</v>
      </c>
      <c r="D107" s="60"/>
      <c r="E107" s="60"/>
      <c r="F107" s="60"/>
      <c r="G107" s="60"/>
      <c r="H107" s="60"/>
      <c r="I107" s="61"/>
      <c r="J107" s="61">
        <v>7378.38</v>
      </c>
      <c r="K107" s="242"/>
    </row>
    <row r="108" spans="1:11" ht="15.75" x14ac:dyDescent="0.25">
      <c r="A108" s="158"/>
      <c r="B108" s="68" t="s">
        <v>122</v>
      </c>
      <c r="C108" s="60" t="s">
        <v>86</v>
      </c>
      <c r="D108" s="60"/>
      <c r="E108" s="60"/>
      <c r="F108" s="60"/>
      <c r="G108" s="60"/>
      <c r="H108" s="60"/>
      <c r="I108" s="108">
        <v>15000</v>
      </c>
      <c r="J108" s="108">
        <f>SUM(J101:J107)</f>
        <v>14630.66</v>
      </c>
      <c r="K108" s="251"/>
    </row>
    <row r="109" spans="1:11" ht="15.75" x14ac:dyDescent="0.25">
      <c r="A109" s="158"/>
      <c r="B109" s="60"/>
      <c r="C109" s="60"/>
      <c r="D109" s="60"/>
      <c r="E109" s="60"/>
      <c r="F109" s="60"/>
      <c r="G109" s="60"/>
      <c r="H109" s="60"/>
      <c r="I109" s="60"/>
      <c r="J109" s="61"/>
      <c r="K109" s="242"/>
    </row>
    <row r="110" spans="1:11" ht="15.75" x14ac:dyDescent="0.25">
      <c r="A110" s="237">
        <v>4007</v>
      </c>
      <c r="B110" s="70" t="s">
        <v>4</v>
      </c>
      <c r="C110" s="60" t="s">
        <v>115</v>
      </c>
      <c r="D110" s="60"/>
      <c r="E110" s="60"/>
      <c r="F110" s="60"/>
      <c r="G110" s="60"/>
      <c r="H110" s="60"/>
      <c r="I110" s="61"/>
      <c r="J110" s="61"/>
      <c r="K110" s="242"/>
    </row>
    <row r="111" spans="1:11" ht="15.75" x14ac:dyDescent="0.25">
      <c r="A111" s="237">
        <v>4006</v>
      </c>
      <c r="B111" s="68" t="s">
        <v>116</v>
      </c>
      <c r="C111" s="60" t="s">
        <v>118</v>
      </c>
      <c r="D111" s="60"/>
      <c r="E111" s="60"/>
      <c r="F111" s="60"/>
      <c r="G111" s="60"/>
      <c r="H111" s="60"/>
      <c r="I111" s="61"/>
      <c r="J111" s="61">
        <v>542.4</v>
      </c>
      <c r="K111" s="242"/>
    </row>
    <row r="112" spans="1:11" ht="15.75" x14ac:dyDescent="0.25">
      <c r="A112" s="237">
        <v>4005</v>
      </c>
      <c r="B112" s="68" t="s">
        <v>116</v>
      </c>
      <c r="C112" s="60" t="s">
        <v>117</v>
      </c>
      <c r="D112" s="60"/>
      <c r="E112" s="60"/>
      <c r="F112" s="60"/>
      <c r="G112" s="60"/>
      <c r="H112" s="60"/>
      <c r="I112" s="61"/>
      <c r="J112" s="61">
        <v>153.36000000000001</v>
      </c>
      <c r="K112" s="242"/>
    </row>
    <row r="113" spans="1:18" ht="15.75" x14ac:dyDescent="0.25">
      <c r="A113" s="237"/>
      <c r="B113" s="68" t="s">
        <v>4</v>
      </c>
      <c r="C113" s="60" t="s">
        <v>86</v>
      </c>
      <c r="D113" s="60"/>
      <c r="E113" s="60"/>
      <c r="F113" s="60"/>
      <c r="G113" s="60"/>
      <c r="H113" s="60"/>
      <c r="I113" s="108">
        <v>1500</v>
      </c>
      <c r="J113" s="108">
        <f>SUM(J111:J112)</f>
        <v>695.76</v>
      </c>
      <c r="K113" s="251"/>
    </row>
    <row r="114" spans="1:18" ht="15.75" x14ac:dyDescent="0.25">
      <c r="A114" s="237"/>
      <c r="B114" s="68"/>
      <c r="C114" s="60"/>
      <c r="D114" s="60"/>
      <c r="E114" s="60"/>
      <c r="F114" s="60"/>
      <c r="G114" s="60"/>
      <c r="H114" s="60"/>
      <c r="I114" s="60"/>
      <c r="J114" s="61"/>
      <c r="K114" s="242"/>
    </row>
    <row r="115" spans="1:18" ht="16.5" thickBot="1" x14ac:dyDescent="0.3">
      <c r="A115" s="158"/>
      <c r="B115" s="68" t="s">
        <v>86</v>
      </c>
      <c r="C115" s="69" t="s">
        <v>112</v>
      </c>
      <c r="D115" s="60"/>
      <c r="E115" s="60"/>
      <c r="F115" s="60"/>
      <c r="G115" s="60"/>
      <c r="H115" s="60"/>
      <c r="I115" s="106">
        <f>+I83+I91+I99+I108+I113</f>
        <v>25500</v>
      </c>
      <c r="J115" s="106">
        <f>+J83+J91+J99+J108+J113</f>
        <v>24703.41</v>
      </c>
      <c r="K115" s="251"/>
    </row>
    <row r="116" spans="1:18" ht="16.5" thickTop="1" x14ac:dyDescent="0.25">
      <c r="A116" s="158"/>
      <c r="B116" s="60"/>
      <c r="C116" s="60"/>
      <c r="D116" s="60"/>
      <c r="E116" s="60"/>
      <c r="F116" s="60"/>
      <c r="G116" s="60"/>
      <c r="H116" s="60"/>
      <c r="I116" s="60"/>
      <c r="J116" s="61"/>
      <c r="K116" s="242"/>
    </row>
    <row r="117" spans="1:18" ht="15.75" x14ac:dyDescent="0.25">
      <c r="A117" s="159" t="s">
        <v>298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242"/>
      <c r="L117" s="60"/>
    </row>
    <row r="118" spans="1:18" ht="15.75" x14ac:dyDescent="0.25">
      <c r="A118" s="158"/>
      <c r="B118" s="60"/>
      <c r="C118" s="60"/>
      <c r="D118" s="60"/>
      <c r="E118" s="60"/>
      <c r="F118" s="60"/>
      <c r="G118" s="60"/>
      <c r="H118" s="60"/>
      <c r="I118" s="154" t="s">
        <v>113</v>
      </c>
      <c r="J118" s="154" t="s">
        <v>114</v>
      </c>
      <c r="K118" s="223"/>
      <c r="L118" s="60"/>
    </row>
    <row r="119" spans="1:18" ht="15.75" x14ac:dyDescent="0.25">
      <c r="A119" s="151" t="s">
        <v>124</v>
      </c>
      <c r="B119" s="60"/>
      <c r="C119" s="60"/>
      <c r="D119" s="60"/>
      <c r="E119" s="60"/>
      <c r="F119" s="60"/>
      <c r="G119" s="60"/>
      <c r="H119" s="60"/>
      <c r="I119" s="61">
        <v>15850</v>
      </c>
      <c r="J119" s="61">
        <v>11978.33</v>
      </c>
      <c r="K119" s="242"/>
      <c r="L119" s="60"/>
    </row>
    <row r="120" spans="1:18" ht="15.75" x14ac:dyDescent="0.25">
      <c r="A120" s="151" t="s">
        <v>125</v>
      </c>
      <c r="B120" s="60"/>
      <c r="C120" s="60"/>
      <c r="D120" s="60"/>
      <c r="E120" s="60"/>
      <c r="F120" s="60"/>
      <c r="G120" s="60"/>
      <c r="H120" s="60"/>
      <c r="I120" s="61">
        <v>31195</v>
      </c>
      <c r="J120" s="61">
        <v>19339.04</v>
      </c>
      <c r="K120" s="242"/>
      <c r="L120" s="60"/>
    </row>
    <row r="121" spans="1:18" ht="15.75" x14ac:dyDescent="0.25">
      <c r="A121" s="151" t="s">
        <v>126</v>
      </c>
      <c r="B121" s="60"/>
      <c r="C121" s="60"/>
      <c r="D121" s="60"/>
      <c r="E121" s="60"/>
      <c r="F121" s="60"/>
      <c r="G121" s="60"/>
      <c r="H121" s="60"/>
      <c r="I121" s="61">
        <v>4125</v>
      </c>
      <c r="J121" s="61">
        <v>3774.31</v>
      </c>
      <c r="K121" s="242"/>
      <c r="L121" s="60"/>
    </row>
    <row r="122" spans="1:18" ht="15.75" x14ac:dyDescent="0.25">
      <c r="A122" s="151" t="s">
        <v>127</v>
      </c>
      <c r="B122" s="60"/>
      <c r="C122" s="60"/>
      <c r="D122" s="60"/>
      <c r="E122" s="60"/>
      <c r="F122" s="60"/>
      <c r="G122" s="60"/>
      <c r="H122" s="60"/>
      <c r="I122" s="61">
        <v>25271</v>
      </c>
      <c r="J122" s="61">
        <v>16000.14</v>
      </c>
      <c r="K122" s="242"/>
      <c r="L122" s="60"/>
    </row>
    <row r="123" spans="1:18" ht="16.5" thickBot="1" x14ac:dyDescent="0.3">
      <c r="A123" s="158"/>
      <c r="B123" s="60"/>
      <c r="C123" s="60"/>
      <c r="D123" s="60"/>
      <c r="E123" s="60"/>
      <c r="F123" s="60"/>
      <c r="G123" s="60"/>
      <c r="H123" s="60"/>
      <c r="I123" s="106">
        <f>SUM(I119:I122)</f>
        <v>76441</v>
      </c>
      <c r="J123" s="106">
        <f>SUM(J119:J122)</f>
        <v>51091.82</v>
      </c>
      <c r="K123" s="251"/>
      <c r="L123" s="60"/>
      <c r="O123" s="1"/>
    </row>
    <row r="124" spans="1:18" ht="16.5" thickTop="1" x14ac:dyDescent="0.25">
      <c r="A124" s="151"/>
      <c r="B124" s="60"/>
      <c r="C124" s="61"/>
      <c r="D124" s="61"/>
      <c r="E124" s="60"/>
      <c r="F124" s="60"/>
      <c r="G124" s="60"/>
      <c r="H124" s="60"/>
      <c r="I124" s="60"/>
      <c r="J124" s="60"/>
      <c r="K124" s="242"/>
      <c r="L124" s="60"/>
    </row>
    <row r="125" spans="1:18" ht="16.5" thickBot="1" x14ac:dyDescent="0.3">
      <c r="A125" s="257" t="s">
        <v>231</v>
      </c>
      <c r="B125" s="60"/>
      <c r="C125" s="61"/>
      <c r="D125" s="61"/>
      <c r="E125" s="60"/>
      <c r="F125" s="60"/>
      <c r="G125" s="60"/>
      <c r="H125" s="60"/>
      <c r="I125" s="106">
        <f>+I115+I123</f>
        <v>101941</v>
      </c>
      <c r="J125" s="106">
        <f>+J115+J123</f>
        <v>75795.23</v>
      </c>
      <c r="K125" s="251"/>
      <c r="L125" s="60"/>
      <c r="M125" s="1"/>
      <c r="O125" s="1"/>
    </row>
    <row r="126" spans="1:18" ht="16.5" thickTop="1" x14ac:dyDescent="0.25">
      <c r="A126" s="151"/>
      <c r="B126" s="60"/>
      <c r="C126" s="61"/>
      <c r="D126" s="61"/>
      <c r="E126" s="60"/>
      <c r="F126" s="60"/>
      <c r="G126" s="60"/>
      <c r="H126" s="60"/>
      <c r="I126" s="60"/>
      <c r="J126" s="60"/>
      <c r="K126" s="242"/>
      <c r="L126" s="60"/>
      <c r="P126" s="68"/>
      <c r="Q126" s="68"/>
      <c r="R126" s="68"/>
    </row>
    <row r="127" spans="1:18" ht="15.75" x14ac:dyDescent="0.25">
      <c r="A127" s="232" t="s">
        <v>291</v>
      </c>
      <c r="B127" s="233"/>
      <c r="C127" s="233"/>
      <c r="D127" s="233"/>
      <c r="E127" s="233"/>
      <c r="F127" s="233"/>
      <c r="G127" s="233"/>
      <c r="H127" s="233"/>
      <c r="I127" s="233"/>
      <c r="J127" s="234"/>
      <c r="K127" s="247" t="s">
        <v>293</v>
      </c>
      <c r="L127" s="60"/>
      <c r="O127" s="1"/>
      <c r="P127" s="175"/>
      <c r="Q127" s="175"/>
      <c r="R127" s="175"/>
    </row>
    <row r="128" spans="1:18" ht="15.75" x14ac:dyDescent="0.25">
      <c r="A128" s="218"/>
      <c r="B128" s="60"/>
      <c r="C128" s="60"/>
      <c r="D128" s="60"/>
      <c r="E128" s="60"/>
      <c r="F128" s="60"/>
      <c r="G128" s="60"/>
      <c r="H128" s="60"/>
      <c r="I128" s="60"/>
      <c r="J128" s="61"/>
      <c r="K128" s="254"/>
      <c r="L128" s="60"/>
      <c r="O128" s="1"/>
      <c r="P128" s="175"/>
      <c r="Q128" s="175"/>
      <c r="R128" s="175"/>
    </row>
    <row r="129" spans="1:18" ht="15.75" x14ac:dyDescent="0.25">
      <c r="A129" s="159" t="s">
        <v>233</v>
      </c>
      <c r="B129" s="62"/>
      <c r="C129" s="62"/>
      <c r="D129" s="62"/>
      <c r="E129" s="62"/>
      <c r="F129" s="62"/>
      <c r="G129" s="60"/>
      <c r="H129" s="60"/>
      <c r="I129" s="154" t="s">
        <v>113</v>
      </c>
      <c r="J129" s="154" t="s">
        <v>114</v>
      </c>
      <c r="K129" s="255" t="s">
        <v>128</v>
      </c>
      <c r="L129" s="60"/>
      <c r="P129" s="175"/>
      <c r="Q129" s="175"/>
      <c r="R129" s="175"/>
    </row>
    <row r="130" spans="1:18" ht="15.75" x14ac:dyDescent="0.25">
      <c r="A130" s="151" t="s">
        <v>129</v>
      </c>
      <c r="B130" s="60"/>
      <c r="C130" s="60">
        <v>770</v>
      </c>
      <c r="D130" s="60"/>
      <c r="E130" s="60" t="s">
        <v>130</v>
      </c>
      <c r="F130" s="60"/>
      <c r="G130" s="60"/>
      <c r="H130" s="60"/>
      <c r="I130" s="61">
        <v>35805</v>
      </c>
      <c r="J130" s="61">
        <v>35467.919999999998</v>
      </c>
      <c r="K130" s="255"/>
      <c r="L130" s="60"/>
      <c r="P130" s="175"/>
      <c r="Q130" s="175"/>
      <c r="R130" s="175"/>
    </row>
    <row r="131" spans="1:18" ht="15.75" x14ac:dyDescent="0.25">
      <c r="A131" s="151" t="s">
        <v>131</v>
      </c>
      <c r="B131" s="60"/>
      <c r="C131" s="60"/>
      <c r="D131" s="60"/>
      <c r="E131" s="60" t="s">
        <v>132</v>
      </c>
      <c r="F131" s="60"/>
      <c r="G131" s="60"/>
      <c r="H131" s="60"/>
      <c r="I131" s="61">
        <v>0</v>
      </c>
      <c r="J131" s="61">
        <v>0</v>
      </c>
      <c r="K131" s="255"/>
      <c r="L131" s="60"/>
      <c r="P131" s="175"/>
      <c r="Q131" s="175"/>
      <c r="R131" s="175"/>
    </row>
    <row r="132" spans="1:18" ht="15.75" x14ac:dyDescent="0.25">
      <c r="A132" s="151" t="s">
        <v>133</v>
      </c>
      <c r="B132" s="60"/>
      <c r="C132" s="60"/>
      <c r="D132" s="60"/>
      <c r="E132" s="60"/>
      <c r="F132" s="60"/>
      <c r="G132" s="60"/>
      <c r="H132" s="60"/>
      <c r="I132" s="61">
        <v>30000</v>
      </c>
      <c r="J132" s="61">
        <v>30000</v>
      </c>
      <c r="K132" s="255"/>
      <c r="L132" s="60"/>
    </row>
    <row r="133" spans="1:18" ht="15.75" x14ac:dyDescent="0.25">
      <c r="A133" s="151"/>
      <c r="B133" s="60"/>
      <c r="C133" s="60"/>
      <c r="D133" s="60"/>
      <c r="E133" s="60"/>
      <c r="F133" s="60"/>
      <c r="G133" s="60"/>
      <c r="H133" s="60"/>
      <c r="I133" s="61"/>
      <c r="J133" s="61"/>
      <c r="K133" s="255"/>
      <c r="L133" s="60"/>
    </row>
    <row r="134" spans="1:18" ht="16.5" thickBot="1" x14ac:dyDescent="0.3">
      <c r="A134" s="257" t="s">
        <v>294</v>
      </c>
      <c r="B134" s="60"/>
      <c r="C134" s="60"/>
      <c r="H134" s="60"/>
      <c r="I134" s="106">
        <f>SUM(I130:I132)</f>
        <v>65805</v>
      </c>
      <c r="J134" s="106">
        <f>SUM(J130:J132)</f>
        <v>65467.92</v>
      </c>
      <c r="K134" s="251"/>
      <c r="L134" s="60"/>
    </row>
    <row r="135" spans="1:18" ht="15.75" thickTop="1" x14ac:dyDescent="0.25">
      <c r="A135" s="98"/>
      <c r="K135" s="245"/>
    </row>
    <row r="136" spans="1:18" ht="15.75" x14ac:dyDescent="0.25">
      <c r="A136" s="151"/>
      <c r="B136" s="60"/>
      <c r="C136" s="60"/>
      <c r="D136" s="175"/>
      <c r="E136" s="175"/>
      <c r="F136" s="176"/>
      <c r="G136" s="60"/>
      <c r="H136" s="60"/>
      <c r="I136" s="61"/>
      <c r="J136" s="61"/>
      <c r="K136" s="255"/>
    </row>
    <row r="137" spans="1:18" ht="15.75" x14ac:dyDescent="0.25">
      <c r="A137" s="151"/>
      <c r="B137" s="60"/>
      <c r="C137" s="60"/>
      <c r="D137" s="176"/>
      <c r="E137" s="175"/>
      <c r="F137" s="175"/>
      <c r="G137" s="175"/>
      <c r="H137" s="60"/>
      <c r="I137" s="60"/>
      <c r="J137" s="61"/>
      <c r="K137" s="242"/>
      <c r="L137" s="60"/>
    </row>
    <row r="138" spans="1:18" ht="16.5" thickBot="1" x14ac:dyDescent="0.3">
      <c r="A138" s="218" t="s">
        <v>295</v>
      </c>
      <c r="B138" s="60"/>
      <c r="C138" s="60"/>
      <c r="D138" s="60"/>
      <c r="E138" s="60"/>
      <c r="F138" s="60"/>
      <c r="G138" s="60"/>
      <c r="H138" s="60"/>
      <c r="I138" s="106">
        <f>+I134-I125</f>
        <v>-36136</v>
      </c>
      <c r="J138" s="106">
        <f>+J134-J125</f>
        <v>-10327.309999999998</v>
      </c>
      <c r="K138" s="251"/>
      <c r="L138" s="60"/>
      <c r="M138" s="1"/>
    </row>
    <row r="139" spans="1:18" ht="16.5" thickTop="1" x14ac:dyDescent="0.25">
      <c r="A139" s="164"/>
      <c r="B139" s="64"/>
      <c r="C139" s="64"/>
      <c r="D139" s="64"/>
      <c r="E139" s="64"/>
      <c r="F139" s="64"/>
      <c r="G139" s="64"/>
      <c r="H139" s="64"/>
      <c r="I139" s="64"/>
      <c r="J139" s="64"/>
      <c r="K139" s="256"/>
      <c r="L139" s="60"/>
    </row>
    <row r="140" spans="1:18" ht="15.75" x14ac:dyDescent="0.25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</row>
    <row r="141" spans="1:18" ht="15.75" x14ac:dyDescent="0.25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</row>
    <row r="142" spans="1:18" ht="15.75" x14ac:dyDescent="0.25">
      <c r="A142" s="60" t="s">
        <v>134</v>
      </c>
      <c r="B142" s="60"/>
      <c r="C142" s="60"/>
      <c r="D142" s="60"/>
      <c r="E142" s="60"/>
      <c r="F142" s="60"/>
      <c r="G142" s="60"/>
      <c r="H142" s="60"/>
      <c r="I142" s="60" t="s">
        <v>232</v>
      </c>
      <c r="J142" s="60"/>
      <c r="K142" s="60"/>
      <c r="L142" s="60"/>
    </row>
    <row r="143" spans="1:18" ht="15.75" x14ac:dyDescent="0.25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</row>
    <row r="144" spans="1:18" ht="15.75" x14ac:dyDescent="0.25">
      <c r="A144" s="60" t="s">
        <v>135</v>
      </c>
      <c r="B144" s="60"/>
      <c r="C144" s="60"/>
      <c r="D144" s="60"/>
      <c r="E144" s="60" t="s">
        <v>136</v>
      </c>
      <c r="F144" s="60"/>
      <c r="G144" s="60"/>
      <c r="H144" s="60"/>
      <c r="I144" s="60" t="s">
        <v>137</v>
      </c>
      <c r="J144" s="60"/>
      <c r="K144" s="60"/>
      <c r="L144" s="60"/>
    </row>
    <row r="145" spans="1:12" ht="15.75" x14ac:dyDescent="0.25">
      <c r="A145" s="60" t="s">
        <v>138</v>
      </c>
      <c r="B145" s="60"/>
      <c r="C145" s="60"/>
      <c r="D145" s="60"/>
      <c r="E145" s="60" t="s">
        <v>139</v>
      </c>
      <c r="F145" s="60"/>
      <c r="G145" s="60"/>
      <c r="H145" s="60"/>
      <c r="I145" s="60" t="s">
        <v>229</v>
      </c>
      <c r="J145" s="60"/>
      <c r="K145" s="60"/>
      <c r="L145" s="60"/>
    </row>
    <row r="146" spans="1:12" ht="15.75" x14ac:dyDescent="0.25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</row>
    <row r="147" spans="1:12" ht="15.75" x14ac:dyDescent="0.25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</row>
  </sheetData>
  <mergeCells count="3">
    <mergeCell ref="H26:I26"/>
    <mergeCell ref="C36:F36"/>
    <mergeCell ref="J47:K47"/>
  </mergeCells>
  <phoneticPr fontId="26" type="noConversion"/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Snelstart Jaarrkg 2025</vt:lpstr>
      <vt:lpstr>0100 Computerapp e.d. 2025</vt:lpstr>
      <vt:lpstr>Overige bal pst Ult 2025</vt:lpstr>
      <vt:lpstr>Toelichting Inkomsten 2025 </vt:lpstr>
      <vt:lpstr>Toelichting 2025</vt:lpstr>
      <vt:lpstr>'Snelstart Jaarrkg 2025'!Afdrukbereik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Hoofd</dc:creator>
  <cp:lastModifiedBy>Peter Deijl</cp:lastModifiedBy>
  <cp:lastPrinted>2026-03-19T17:57:27Z</cp:lastPrinted>
  <dcterms:created xsi:type="dcterms:W3CDTF">2023-01-18T10:29:32Z</dcterms:created>
  <dcterms:modified xsi:type="dcterms:W3CDTF">2026-05-07T17:26:46Z</dcterms:modified>
</cp:coreProperties>
</file>